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6380" windowHeight="8190"/>
  </bookViews>
  <sheets>
    <sheet name="Just totals (2)" sheetId="1" r:id="rId1"/>
    <sheet name="Sheet8" sheetId="2" r:id="rId2"/>
    <sheet name="Just totals use for PRINTING" sheetId="3" r:id="rId3"/>
    <sheet name="no addresses sums" sheetId="4" r:id="rId4"/>
    <sheet name="PRINT THIS" sheetId="5" r:id="rId5"/>
    <sheet name="orig" sheetId="6" r:id="rId6"/>
    <sheet name="backup" sheetId="7" r:id="rId7"/>
    <sheet name="some checks" sheetId="8" r:id="rId8"/>
  </sheets>
  <definedNames>
    <definedName name="__xlnm.Print_Area_1">'Just totals (2)'!$P$4:$AN$44</definedName>
    <definedName name="__xlnm.Print_Area_2">'Just totals use for PRINTING'!$P$4:$AN$44</definedName>
    <definedName name="__xlnm.Print_Area_4">'PRINT THIS'!$H$4:$AF$44</definedName>
    <definedName name="__xlnm.Print_Area_5">orig!$H$4:$AF$43</definedName>
    <definedName name="_xlnm.Print_Area" localSheetId="0">'Just totals (2)'!$P$4:$AN$44</definedName>
    <definedName name="_xlnm.Print_Area" localSheetId="2">'Just totals use for PRINTING'!$P$4:$AN$44</definedName>
    <definedName name="_xlnm.Print_Area" localSheetId="5">orig!$H$4:$AF$43</definedName>
    <definedName name="_xlnm.Print_Area" localSheetId="4">'PRINT THIS'!$H$4:$AF$44</definedName>
  </definedNames>
  <calcPr calcId="145621"/>
</workbook>
</file>

<file path=xl/calcChain.xml><?xml version="1.0" encoding="utf-8"?>
<calcChain xmlns="http://schemas.openxmlformats.org/spreadsheetml/2006/main">
  <c r="AH19" i="7" l="1"/>
  <c r="AI19" i="7"/>
  <c r="AJ19" i="7" s="1"/>
  <c r="AL19" i="7" s="1"/>
  <c r="AT21" i="7"/>
  <c r="AR27" i="7"/>
  <c r="X6" i="1"/>
  <c r="B8" i="1"/>
  <c r="S8" i="1"/>
  <c r="X8" i="1"/>
  <c r="AU8" i="1"/>
  <c r="AV8" i="1"/>
  <c r="AW8" i="1"/>
  <c r="B9" i="1"/>
  <c r="C9" i="1"/>
  <c r="D9" i="1"/>
  <c r="S9" i="1"/>
  <c r="M9" i="1" s="1"/>
  <c r="X9" i="1"/>
  <c r="AU9" i="1"/>
  <c r="AW9" i="1"/>
  <c r="B11" i="1"/>
  <c r="C11" i="1"/>
  <c r="D11" i="1"/>
  <c r="E11" i="1"/>
  <c r="M11" i="1"/>
  <c r="R11" i="1"/>
  <c r="W11" i="1"/>
  <c r="AE11" i="1"/>
  <c r="AK11" i="1"/>
  <c r="AE12" i="1"/>
  <c r="M12" i="1" s="1"/>
  <c r="AK12" i="1"/>
  <c r="B14" i="1"/>
  <c r="C14" i="1"/>
  <c r="D14" i="1"/>
  <c r="E14" i="1"/>
  <c r="R14" i="1"/>
  <c r="X14" i="1"/>
  <c r="AF14" i="1"/>
  <c r="AK14" i="1"/>
  <c r="AF15" i="1"/>
  <c r="M15" i="1" s="1"/>
  <c r="AK15" i="1"/>
  <c r="B17" i="1"/>
  <c r="C17" i="1"/>
  <c r="D17" i="1"/>
  <c r="E17" i="1"/>
  <c r="M17" i="1"/>
  <c r="R17" i="1"/>
  <c r="X17" i="1"/>
  <c r="AE17" i="1"/>
  <c r="AK17" i="1"/>
  <c r="AE18" i="1"/>
  <c r="AK18" i="1"/>
  <c r="Y19" i="1"/>
  <c r="B20" i="1"/>
  <c r="C20" i="1"/>
  <c r="D20" i="1"/>
  <c r="E20" i="1"/>
  <c r="R20" i="1"/>
  <c r="M20" i="1" s="1"/>
  <c r="X20" i="1"/>
  <c r="AG54" i="1" s="1"/>
  <c r="AH54" i="1" s="1"/>
  <c r="AD20" i="1"/>
  <c r="AK20" i="1"/>
  <c r="B21" i="1"/>
  <c r="R21" i="1"/>
  <c r="M21" i="1" s="1"/>
  <c r="X21" i="1"/>
  <c r="AD21" i="1"/>
  <c r="AK21" i="1"/>
  <c r="B23" i="1"/>
  <c r="C23" i="1"/>
  <c r="D23" i="1"/>
  <c r="E23" i="1"/>
  <c r="O23" i="1"/>
  <c r="R23" i="1"/>
  <c r="AB23" i="1"/>
  <c r="AL23" i="1"/>
  <c r="M24" i="1"/>
  <c r="AL24" i="1"/>
  <c r="B26" i="1"/>
  <c r="C26" i="1"/>
  <c r="D26" i="1"/>
  <c r="M26" i="1"/>
  <c r="R26" i="1"/>
  <c r="X26" i="1"/>
  <c r="AK26" i="1"/>
  <c r="AK27" i="1"/>
  <c r="M27" i="1" s="1"/>
  <c r="B29" i="1"/>
  <c r="C29" i="1"/>
  <c r="D29" i="1"/>
  <c r="Q29" i="1"/>
  <c r="X29" i="1"/>
  <c r="M29" i="1" s="1"/>
  <c r="AK29" i="1"/>
  <c r="X30" i="1"/>
  <c r="AK30" i="1"/>
  <c r="C32" i="1"/>
  <c r="B32" i="1" s="1"/>
  <c r="D32" i="1"/>
  <c r="R32" i="1"/>
  <c r="M32" i="1" s="1"/>
  <c r="AL32" i="1"/>
  <c r="R33" i="1"/>
  <c r="X33" i="1"/>
  <c r="AL33" i="1"/>
  <c r="C35" i="1"/>
  <c r="D35" i="1"/>
  <c r="AC35" i="1"/>
  <c r="AK35" i="1"/>
  <c r="B36" i="1"/>
  <c r="Q36" i="1"/>
  <c r="AK36" i="1"/>
  <c r="B38" i="1"/>
  <c r="C38" i="1"/>
  <c r="D38" i="1"/>
  <c r="E38" i="1"/>
  <c r="X38" i="1"/>
  <c r="M38" i="1" s="1"/>
  <c r="AK38" i="1"/>
  <c r="AB39" i="1"/>
  <c r="AK39" i="1"/>
  <c r="B41" i="1"/>
  <c r="C41" i="1"/>
  <c r="C40" i="1" s="1"/>
  <c r="D41" i="1"/>
  <c r="E41" i="1"/>
  <c r="I41" i="1"/>
  <c r="M41" i="1"/>
  <c r="W41" i="1"/>
  <c r="I42" i="1"/>
  <c r="W42" i="1"/>
  <c r="M42" i="1" s="1"/>
  <c r="C43" i="1"/>
  <c r="C44" i="1" s="1"/>
  <c r="AF49" i="1"/>
  <c r="N50" i="1"/>
  <c r="AF50" i="1"/>
  <c r="AF51" i="1"/>
  <c r="AF52" i="1"/>
  <c r="AG52" i="1"/>
  <c r="AH52" i="1" s="1"/>
  <c r="AF53" i="1"/>
  <c r="AF54" i="1"/>
  <c r="AE55" i="1"/>
  <c r="AF55" i="1"/>
  <c r="N57" i="1"/>
  <c r="N58" i="1"/>
  <c r="AJ58" i="1"/>
  <c r="M59" i="1"/>
  <c r="N56" i="1" s="1"/>
  <c r="N59" i="1"/>
  <c r="AJ59" i="1"/>
  <c r="AJ60" i="1"/>
  <c r="AJ61" i="1"/>
  <c r="AJ62" i="1"/>
  <c r="AJ63" i="1"/>
  <c r="AJ64" i="1"/>
  <c r="AJ65" i="1"/>
  <c r="X6" i="3"/>
  <c r="B8" i="3"/>
  <c r="M8" i="3"/>
  <c r="S8" i="3"/>
  <c r="X8" i="3"/>
  <c r="AU8" i="3"/>
  <c r="AV8" i="3"/>
  <c r="AW8" i="3"/>
  <c r="AW9" i="3" s="1"/>
  <c r="B9" i="3"/>
  <c r="C9" i="3"/>
  <c r="D9" i="3"/>
  <c r="S9" i="3"/>
  <c r="M9" i="3" s="1"/>
  <c r="X9" i="3"/>
  <c r="AU9" i="3"/>
  <c r="B11" i="3"/>
  <c r="C11" i="3"/>
  <c r="D11" i="3"/>
  <c r="E11" i="3"/>
  <c r="R11" i="3"/>
  <c r="W11" i="3"/>
  <c r="AE11" i="3"/>
  <c r="AK11" i="3"/>
  <c r="AE12" i="3"/>
  <c r="M12" i="3" s="1"/>
  <c r="AK12" i="3"/>
  <c r="B14" i="3"/>
  <c r="C14" i="3"/>
  <c r="D14" i="3"/>
  <c r="E14" i="3"/>
  <c r="R14" i="3"/>
  <c r="X14" i="3"/>
  <c r="AF14" i="3"/>
  <c r="AK14" i="3"/>
  <c r="AF15" i="3"/>
  <c r="AK15" i="3"/>
  <c r="B17" i="3"/>
  <c r="C17" i="3"/>
  <c r="D17" i="3"/>
  <c r="E17" i="3"/>
  <c r="R17" i="3"/>
  <c r="X17" i="3"/>
  <c r="AE17" i="3"/>
  <c r="AK17" i="3"/>
  <c r="M18" i="3"/>
  <c r="AE18" i="3"/>
  <c r="AK18" i="3"/>
  <c r="Y19" i="3"/>
  <c r="B20" i="3"/>
  <c r="C20" i="3"/>
  <c r="D20" i="3"/>
  <c r="E20" i="3"/>
  <c r="M20" i="3"/>
  <c r="R20" i="3"/>
  <c r="X20" i="3"/>
  <c r="AD20" i="3"/>
  <c r="AK20" i="3"/>
  <c r="B21" i="3"/>
  <c r="R21" i="3"/>
  <c r="O50" i="3" s="1"/>
  <c r="X21" i="3"/>
  <c r="O29" i="3" s="1"/>
  <c r="AD21" i="3"/>
  <c r="AK21" i="3"/>
  <c r="B23" i="3"/>
  <c r="C23" i="3"/>
  <c r="D23" i="3"/>
  <c r="E23" i="3"/>
  <c r="M23" i="3"/>
  <c r="R23" i="3"/>
  <c r="AB23" i="3"/>
  <c r="AL23" i="3"/>
  <c r="M24" i="3"/>
  <c r="AL24" i="3"/>
  <c r="B26" i="3"/>
  <c r="C26" i="3"/>
  <c r="D26" i="3"/>
  <c r="R26" i="3"/>
  <c r="W26" i="3"/>
  <c r="O23" i="3" s="1"/>
  <c r="O41" i="3" s="1"/>
  <c r="AK26" i="3"/>
  <c r="AK27" i="3"/>
  <c r="M27" i="3" s="1"/>
  <c r="B29" i="3"/>
  <c r="C29" i="3"/>
  <c r="D29" i="3"/>
  <c r="Q29" i="3"/>
  <c r="M30" i="3" s="1"/>
  <c r="X29" i="3"/>
  <c r="AK29" i="3"/>
  <c r="M29" i="3" s="1"/>
  <c r="X30" i="3"/>
  <c r="AK30" i="3"/>
  <c r="C32" i="3"/>
  <c r="B32" i="3" s="1"/>
  <c r="D32" i="3"/>
  <c r="R32" i="3"/>
  <c r="M32" i="3" s="1"/>
  <c r="AL32" i="3"/>
  <c r="R33" i="3"/>
  <c r="M33" i="3" s="1"/>
  <c r="X33" i="3"/>
  <c r="AL33" i="3"/>
  <c r="AG51" i="3" s="1"/>
  <c r="AH51" i="3" s="1"/>
  <c r="C35" i="3"/>
  <c r="D35" i="3"/>
  <c r="M35" i="3"/>
  <c r="AC35" i="3"/>
  <c r="AK35" i="3"/>
  <c r="B36" i="3"/>
  <c r="Q36" i="3"/>
  <c r="S46" i="3" s="1"/>
  <c r="AK36" i="3"/>
  <c r="B38" i="3"/>
  <c r="C38" i="3"/>
  <c r="D38" i="3"/>
  <c r="E38" i="3"/>
  <c r="X38" i="3"/>
  <c r="M38" i="3" s="1"/>
  <c r="AK38" i="3"/>
  <c r="AB39" i="3"/>
  <c r="AK39" i="3"/>
  <c r="AK46" i="3" s="1"/>
  <c r="B41" i="3"/>
  <c r="C41" i="3"/>
  <c r="E41" i="3"/>
  <c r="I41" i="3"/>
  <c r="D41" i="3" s="1"/>
  <c r="I42" i="3"/>
  <c r="W42" i="3" s="1"/>
  <c r="AF49" i="3"/>
  <c r="AF50" i="3"/>
  <c r="AF51" i="3"/>
  <c r="AF52" i="3"/>
  <c r="AG52" i="3"/>
  <c r="AH52" i="3" s="1"/>
  <c r="AF53" i="3"/>
  <c r="AG53" i="3"/>
  <c r="AH53" i="3" s="1"/>
  <c r="AF54" i="3"/>
  <c r="AE55" i="3"/>
  <c r="AF55" i="3"/>
  <c r="AJ58" i="3"/>
  <c r="AJ59" i="3"/>
  <c r="AJ60" i="3"/>
  <c r="M61" i="3"/>
  <c r="N60" i="3" s="1"/>
  <c r="N61" i="3"/>
  <c r="AJ61" i="3"/>
  <c r="AJ62" i="3"/>
  <c r="K63" i="3"/>
  <c r="AJ63" i="3"/>
  <c r="O64" i="3"/>
  <c r="AJ64" i="3"/>
  <c r="AJ65" i="3"/>
  <c r="AW4" i="4"/>
  <c r="AW5" i="4"/>
  <c r="S6" i="4"/>
  <c r="I6" i="4" s="1"/>
  <c r="T6" i="4"/>
  <c r="U6" i="4"/>
  <c r="V6" i="4"/>
  <c r="AW6" i="4"/>
  <c r="AW7" i="4"/>
  <c r="O8" i="4"/>
  <c r="P8" i="4"/>
  <c r="AL8" i="4" s="1"/>
  <c r="Q8" i="4"/>
  <c r="S8" i="4"/>
  <c r="I8" i="4" s="1"/>
  <c r="D9" i="4" s="1"/>
  <c r="T8" i="4"/>
  <c r="AM8" i="4" s="1"/>
  <c r="U8" i="4"/>
  <c r="V8" i="4"/>
  <c r="AT8" i="4"/>
  <c r="AW8" i="4"/>
  <c r="H9" i="4"/>
  <c r="B9" i="4" s="1"/>
  <c r="O9" i="4"/>
  <c r="P9" i="4"/>
  <c r="Q9" i="4"/>
  <c r="AL9" i="4" s="1"/>
  <c r="S9" i="4"/>
  <c r="I9" i="4" s="1"/>
  <c r="T9" i="4"/>
  <c r="U9" i="4"/>
  <c r="V9" i="4"/>
  <c r="AW9" i="4"/>
  <c r="AR8" i="4" s="1"/>
  <c r="H11" i="4"/>
  <c r="W11" i="4"/>
  <c r="I11" i="4" s="1"/>
  <c r="D11" i="4" s="1"/>
  <c r="AA11" i="4"/>
  <c r="J11" i="4" s="1"/>
  <c r="AB11" i="4"/>
  <c r="AD11" i="4"/>
  <c r="AN11" i="4" s="1"/>
  <c r="AF11" i="4"/>
  <c r="AG11" i="4"/>
  <c r="AH11" i="4"/>
  <c r="AI11" i="4"/>
  <c r="AL11" i="4"/>
  <c r="AM11" i="4"/>
  <c r="AQ8" i="4" s="1"/>
  <c r="AR9" i="4" s="1"/>
  <c r="J12" i="4"/>
  <c r="Z12" i="4"/>
  <c r="AA12" i="4"/>
  <c r="AB12" i="4"/>
  <c r="AC12" i="4"/>
  <c r="AD12" i="4"/>
  <c r="AF12" i="4"/>
  <c r="K12" i="4" s="1"/>
  <c r="AG12" i="4"/>
  <c r="AH12" i="4"/>
  <c r="AI12" i="4"/>
  <c r="AO12" i="4" s="1"/>
  <c r="AJ12" i="4"/>
  <c r="AM12" i="4"/>
  <c r="AN12" i="4"/>
  <c r="C14" i="4"/>
  <c r="H14" i="4"/>
  <c r="B14" i="4" s="1"/>
  <c r="I14" i="4"/>
  <c r="D14" i="4" s="1"/>
  <c r="AC14" i="4"/>
  <c r="AD14" i="4"/>
  <c r="AF14" i="4"/>
  <c r="AG14" i="4"/>
  <c r="AH14" i="4"/>
  <c r="AI14" i="4"/>
  <c r="AO14" i="4" s="1"/>
  <c r="AJ14" i="4"/>
  <c r="AL14" i="4"/>
  <c r="AM14" i="4"/>
  <c r="AC15" i="4"/>
  <c r="AD15" i="4"/>
  <c r="AF15" i="4"/>
  <c r="AG15" i="4"/>
  <c r="AH15" i="4"/>
  <c r="AJ15" i="4"/>
  <c r="H16" i="4"/>
  <c r="D17" i="4"/>
  <c r="I17" i="4"/>
  <c r="J17" i="4"/>
  <c r="K17" i="4"/>
  <c r="F17" i="4" s="1"/>
  <c r="AB17" i="4"/>
  <c r="AF17" i="4"/>
  <c r="AH17" i="4"/>
  <c r="AO17" i="4" s="1"/>
  <c r="AI17" i="4"/>
  <c r="AL17" i="4"/>
  <c r="AN17" i="4"/>
  <c r="J18" i="4"/>
  <c r="AF18" i="4"/>
  <c r="K18" i="4" s="1"/>
  <c r="AG18" i="4"/>
  <c r="AO18" i="4" s="1"/>
  <c r="AJ18" i="4"/>
  <c r="AM18" i="4"/>
  <c r="AN18" i="4"/>
  <c r="I19" i="4"/>
  <c r="C20" i="4"/>
  <c r="D20" i="4"/>
  <c r="H20" i="4"/>
  <c r="B20" i="4" s="1"/>
  <c r="I20" i="4"/>
  <c r="J20" i="4"/>
  <c r="AD20" i="4"/>
  <c r="AN20" i="4" s="1"/>
  <c r="AG20" i="4"/>
  <c r="AL20" i="4"/>
  <c r="AM20" i="4"/>
  <c r="B21" i="4"/>
  <c r="H21" i="4"/>
  <c r="I21" i="4"/>
  <c r="J21" i="4"/>
  <c r="K21" i="4"/>
  <c r="AL21" i="4"/>
  <c r="AM21" i="4"/>
  <c r="AN21" i="4"/>
  <c r="AO21" i="4"/>
  <c r="C23" i="4"/>
  <c r="D23" i="4"/>
  <c r="H23" i="4"/>
  <c r="B23" i="4" s="1"/>
  <c r="J23" i="4"/>
  <c r="E23" i="4" s="1"/>
  <c r="K23" i="4"/>
  <c r="F23" i="4" s="1"/>
  <c r="AL23" i="4"/>
  <c r="AN23" i="4"/>
  <c r="AO23" i="4"/>
  <c r="AG24" i="4"/>
  <c r="K24" i="4" s="1"/>
  <c r="H26" i="4"/>
  <c r="I26" i="4"/>
  <c r="D26" i="4" s="1"/>
  <c r="AH26" i="4"/>
  <c r="K26" i="4" s="1"/>
  <c r="AJ26" i="4"/>
  <c r="AO26" i="4" s="1"/>
  <c r="AL26" i="4"/>
  <c r="AG27" i="4"/>
  <c r="AH27" i="4"/>
  <c r="AJ27" i="4"/>
  <c r="AM27" i="4"/>
  <c r="H29" i="4"/>
  <c r="C29" i="4" s="1"/>
  <c r="I29" i="4"/>
  <c r="AG29" i="4"/>
  <c r="K29" i="4" s="1"/>
  <c r="F29" i="4" s="1"/>
  <c r="AL29" i="4"/>
  <c r="B29" i="4" s="1"/>
  <c r="AM29" i="4"/>
  <c r="I30" i="4"/>
  <c r="D29" i="4" s="1"/>
  <c r="K30" i="4"/>
  <c r="AM30" i="4"/>
  <c r="AO30" i="4"/>
  <c r="F32" i="4"/>
  <c r="H32" i="4"/>
  <c r="C32" i="4" s="1"/>
  <c r="B32" i="4" s="1"/>
  <c r="K32" i="4"/>
  <c r="AL32" i="4"/>
  <c r="AO32" i="4"/>
  <c r="H33" i="4"/>
  <c r="I33" i="4"/>
  <c r="D32" i="4" s="1"/>
  <c r="K33" i="4"/>
  <c r="AL33" i="4"/>
  <c r="AM33" i="4"/>
  <c r="AO33" i="4"/>
  <c r="C35" i="4"/>
  <c r="D35" i="4"/>
  <c r="E35" i="4"/>
  <c r="J35" i="4"/>
  <c r="K35" i="4"/>
  <c r="AN35" i="4"/>
  <c r="AO35" i="4"/>
  <c r="B36" i="4"/>
  <c r="H36" i="4"/>
  <c r="J36" i="4"/>
  <c r="J36" i="3" s="1"/>
  <c r="K36" i="4"/>
  <c r="F35" i="4" s="1"/>
  <c r="AL36" i="4"/>
  <c r="AN36" i="4"/>
  <c r="AO36" i="4"/>
  <c r="C38" i="4"/>
  <c r="E38" i="4"/>
  <c r="F38" i="4"/>
  <c r="H38" i="4"/>
  <c r="I38" i="4"/>
  <c r="K38" i="4"/>
  <c r="AL38" i="4"/>
  <c r="B38" i="4" s="1"/>
  <c r="AM38" i="4"/>
  <c r="AO38" i="4"/>
  <c r="AQ38" i="4"/>
  <c r="I39" i="4"/>
  <c r="J39" i="4"/>
  <c r="K39" i="4"/>
  <c r="AM39" i="4"/>
  <c r="AN39" i="4"/>
  <c r="AO39" i="4"/>
  <c r="H40" i="4"/>
  <c r="AL40" i="4"/>
  <c r="C41" i="4"/>
  <c r="C40" i="4" s="1"/>
  <c r="D41" i="4"/>
  <c r="E41" i="4"/>
  <c r="F41" i="4"/>
  <c r="H41" i="4"/>
  <c r="B41" i="4" s="1"/>
  <c r="I41" i="4"/>
  <c r="AM41" i="4"/>
  <c r="I42" i="4"/>
  <c r="AL42" i="4"/>
  <c r="AM42" i="4"/>
  <c r="U47" i="6"/>
  <c r="P14" i="8"/>
  <c r="P26" i="8"/>
  <c r="O8" i="1" l="1"/>
  <c r="AG53" i="1"/>
  <c r="AH53" i="1" s="1"/>
  <c r="B26" i="4"/>
  <c r="E20" i="4"/>
  <c r="B11" i="4"/>
  <c r="C11" i="4"/>
  <c r="D43" i="3"/>
  <c r="D44" i="3" s="1"/>
  <c r="O50" i="1"/>
  <c r="M33" i="1"/>
  <c r="S46" i="1"/>
  <c r="M8" i="1"/>
  <c r="C26" i="4"/>
  <c r="K15" i="4"/>
  <c r="AO15" i="4"/>
  <c r="K14" i="4"/>
  <c r="F14" i="4" s="1"/>
  <c r="M15" i="3"/>
  <c r="M30" i="1"/>
  <c r="M23" i="1"/>
  <c r="D43" i="1"/>
  <c r="D44" i="1" s="1"/>
  <c r="AO27" i="4"/>
  <c r="K27" i="4"/>
  <c r="E17" i="4"/>
  <c r="J15" i="4"/>
  <c r="J43" i="4" s="1"/>
  <c r="AN15" i="4"/>
  <c r="AL43" i="4"/>
  <c r="M6" i="3"/>
  <c r="M46" i="3" s="1"/>
  <c r="O8" i="3"/>
  <c r="K11" i="4"/>
  <c r="AO11" i="4"/>
  <c r="I43" i="4"/>
  <c r="C40" i="3"/>
  <c r="C43" i="3" s="1"/>
  <c r="C44" i="3" s="1"/>
  <c r="M17" i="3"/>
  <c r="D38" i="4"/>
  <c r="D43" i="4" s="1"/>
  <c r="D44" i="4" s="1"/>
  <c r="AN14" i="4"/>
  <c r="AN43" i="4" s="1"/>
  <c r="J14" i="4"/>
  <c r="E14" i="4" s="1"/>
  <c r="AM9" i="4"/>
  <c r="H8" i="4"/>
  <c r="AG54" i="3"/>
  <c r="AH54" i="3" s="1"/>
  <c r="M14" i="1"/>
  <c r="M35" i="1"/>
  <c r="E35" i="3"/>
  <c r="AC36" i="3"/>
  <c r="M36" i="3" s="1"/>
  <c r="F26" i="4"/>
  <c r="AO20" i="4"/>
  <c r="K20" i="4"/>
  <c r="F20" i="4" s="1"/>
  <c r="B17" i="4"/>
  <c r="C17" i="4"/>
  <c r="E11" i="4"/>
  <c r="M42" i="3"/>
  <c r="X39" i="3"/>
  <c r="M39" i="3" s="1"/>
  <c r="E43" i="3"/>
  <c r="E44" i="3" s="1"/>
  <c r="M11" i="3"/>
  <c r="AK46" i="1"/>
  <c r="AG51" i="1"/>
  <c r="AH51" i="1" s="1"/>
  <c r="M18" i="1"/>
  <c r="AO29" i="4"/>
  <c r="J36" i="1"/>
  <c r="O29" i="1"/>
  <c r="O41" i="1" s="1"/>
  <c r="M6" i="1"/>
  <c r="AM6" i="4"/>
  <c r="N59" i="3"/>
  <c r="W41" i="3"/>
  <c r="M41" i="3" s="1"/>
  <c r="M21" i="3"/>
  <c r="M14" i="3"/>
  <c r="X39" i="1"/>
  <c r="AO24" i="4"/>
  <c r="N58" i="3"/>
  <c r="O63" i="3"/>
  <c r="M26" i="3"/>
  <c r="N50" i="3"/>
  <c r="J44" i="4" l="1"/>
  <c r="W46" i="1"/>
  <c r="M39" i="1"/>
  <c r="B8" i="4"/>
  <c r="C9" i="4"/>
  <c r="C43" i="4" s="1"/>
  <c r="C44" i="4" s="1"/>
  <c r="H43" i="4"/>
  <c r="H44" i="4" s="1"/>
  <c r="AO43" i="4"/>
  <c r="AC46" i="3"/>
  <c r="F11" i="4"/>
  <c r="F43" i="4" s="1"/>
  <c r="F44" i="4" s="1"/>
  <c r="K43" i="4"/>
  <c r="AM43" i="4"/>
  <c r="E43" i="4"/>
  <c r="E44" i="4" s="1"/>
  <c r="N22" i="3"/>
  <c r="M51" i="3"/>
  <c r="O38" i="3"/>
  <c r="AS8" i="4"/>
  <c r="AT9" i="4" s="1"/>
  <c r="O17" i="3"/>
  <c r="W46" i="3"/>
  <c r="E35" i="1"/>
  <c r="E43" i="1" s="1"/>
  <c r="E44" i="1" s="1"/>
  <c r="AC36" i="1"/>
  <c r="AG50" i="1"/>
  <c r="AH50" i="1" s="1"/>
  <c r="M51" i="1"/>
  <c r="O38" i="1"/>
  <c r="AG50" i="3"/>
  <c r="AH50" i="3" s="1"/>
  <c r="AG49" i="3"/>
  <c r="I44" i="4"/>
  <c r="O17" i="1"/>
  <c r="O36" i="1" l="1"/>
  <c r="M52" i="1"/>
  <c r="M36" i="1"/>
  <c r="M46" i="1" s="1"/>
  <c r="AC46" i="1"/>
  <c r="M47" i="1" s="1"/>
  <c r="AG49" i="1"/>
  <c r="AH49" i="3"/>
  <c r="AG55" i="3"/>
  <c r="M52" i="3"/>
  <c r="O36" i="3"/>
  <c r="N51" i="1"/>
  <c r="O51" i="1" s="1"/>
  <c r="M47" i="3"/>
  <c r="N22" i="1"/>
  <c r="K44" i="4"/>
  <c r="N51" i="3"/>
  <c r="O51" i="3" s="1"/>
  <c r="M54" i="3"/>
  <c r="N52" i="1" l="1"/>
  <c r="O52" i="1" s="1"/>
  <c r="Q52" i="1"/>
  <c r="M53" i="1"/>
  <c r="M55" i="3"/>
  <c r="M53" i="3"/>
  <c r="N52" i="3"/>
  <c r="O52" i="3" s="1"/>
  <c r="AH55" i="3"/>
  <c r="AG56" i="3"/>
  <c r="AH49" i="1"/>
  <c r="AG55" i="1"/>
  <c r="O61" i="3" l="1"/>
  <c r="O60" i="3"/>
  <c r="O59" i="3"/>
  <c r="O58" i="3"/>
  <c r="O53" i="3"/>
  <c r="O54" i="3" s="1"/>
  <c r="AH55" i="1"/>
  <c r="AG56" i="1"/>
  <c r="M65" i="1"/>
  <c r="M67" i="1"/>
  <c r="M66" i="1"/>
  <c r="M64" i="1"/>
  <c r="Q51" i="1"/>
  <c r="O55" i="3" l="1"/>
</calcChain>
</file>

<file path=xl/sharedStrings.xml><?xml version="1.0" encoding="utf-8"?>
<sst xmlns="http://schemas.openxmlformats.org/spreadsheetml/2006/main" count="1247" uniqueCount="466">
  <si>
    <t>Summary!</t>
  </si>
  <si>
    <t>West 72nd St</t>
  </si>
  <si>
    <t>Columbus Ave</t>
  </si>
  <si>
    <t>199 has</t>
  </si>
  <si>
    <t>West 71st St</t>
  </si>
  <si>
    <t>West End Avenue</t>
  </si>
  <si>
    <t>units</t>
  </si>
  <si>
    <t>West 70th St</t>
  </si>
  <si>
    <t>Amsterdam Avenue</t>
  </si>
  <si>
    <t>West 69th St</t>
  </si>
  <si>
    <t>Lincoln Towers</t>
  </si>
  <si>
    <t>Broadway</t>
  </si>
  <si>
    <t>191/342 has</t>
  </si>
  <si>
    <t>West 68th Street</t>
  </si>
  <si>
    <t>West 68th St</t>
  </si>
  <si>
    <t>Bdway</t>
  </si>
  <si>
    <t xml:space="preserve">33 W 67 =35 </t>
  </si>
  <si>
    <t>Riverside Blvd</t>
  </si>
  <si>
    <t>West 67th Street</t>
  </si>
  <si>
    <t>67th</t>
  </si>
  <si>
    <t>Central Park West</t>
  </si>
  <si>
    <t>moving the line to W 66 adds</t>
  </si>
  <si>
    <t>West 66th Street</t>
  </si>
  <si>
    <t>units to 191</t>
  </si>
  <si>
    <t>West 65th Street</t>
  </si>
  <si>
    <t>moving the line to W 67 adds</t>
  </si>
  <si>
    <t>Lincoln Center</t>
  </si>
  <si>
    <t>West 64th Street</t>
  </si>
  <si>
    <t>units including 140 WEA and 200 W 67</t>
  </si>
  <si>
    <t>West 63rd Street</t>
  </si>
  <si>
    <t>West 62nd Street</t>
  </si>
  <si>
    <t>or</t>
  </si>
  <si>
    <t>Beacon HS</t>
  </si>
  <si>
    <t>for 191 &amp; 342</t>
  </si>
  <si>
    <t>West 61st Street</t>
  </si>
  <si>
    <t>for 199</t>
  </si>
  <si>
    <t>West 60th Street</t>
  </si>
  <si>
    <t>D2 zone 111</t>
  </si>
  <si>
    <t>West 59th Street</t>
  </si>
  <si>
    <t>Utility building</t>
  </si>
  <si>
    <t>John Jay College</t>
  </si>
  <si>
    <t>done</t>
  </si>
  <si>
    <t>start here</t>
  </si>
  <si>
    <t>With all units south of</t>
  </si>
  <si>
    <t>Census</t>
  </si>
  <si>
    <t>gr.</t>
  </si>
  <si>
    <t>map</t>
  </si>
  <si>
    <t>diff</t>
  </si>
  <si>
    <t>Units</t>
  </si>
  <si>
    <t>W 66th</t>
  </si>
  <si>
    <t>W 67th</t>
  </si>
  <si>
    <t>amst</t>
  </si>
  <si>
    <t>cpw</t>
  </si>
  <si>
    <t>c.t. 145</t>
  </si>
  <si>
    <t>map doesn't include 58th St</t>
  </si>
  <si>
    <t>Current</t>
  </si>
  <si>
    <t>wea</t>
  </si>
  <si>
    <t>c.t. 147</t>
  </si>
  <si>
    <t>new construction (4 new builds on 2 blocks)</t>
  </si>
  <si>
    <t>c.t. 149</t>
  </si>
  <si>
    <t>minima new construction</t>
  </si>
  <si>
    <t>191/342</t>
  </si>
  <si>
    <t>riv</t>
  </si>
  <si>
    <t>c.t. 151</t>
  </si>
  <si>
    <t>Added Trump units</t>
  </si>
  <si>
    <t>Total</t>
  </si>
  <si>
    <t>c.t. 153</t>
  </si>
  <si>
    <t>new construction</t>
  </si>
  <si>
    <t>c.t. 155</t>
  </si>
  <si>
    <t>Seats*</t>
  </si>
  <si>
    <t>Percent</t>
  </si>
  <si>
    <t>Zone divider</t>
  </si>
  <si>
    <t>utility building</t>
  </si>
  <si>
    <t>Housing Count (100%)</t>
  </si>
  <si>
    <t>Housing Unit Count (100%)</t>
  </si>
  <si>
    <t>CHECK!</t>
  </si>
  <si>
    <t>Population Count (100%)</t>
  </si>
  <si>
    <t>Change</t>
  </si>
  <si>
    <t>school (non D3 elementary)</t>
  </si>
  <si>
    <t>D3 elementary school</t>
  </si>
  <si>
    <t>*as per blue book 2013-14</t>
  </si>
  <si>
    <t>park or recreation center</t>
  </si>
  <si>
    <t>church/synagogue</t>
  </si>
  <si>
    <t>hospital</t>
  </si>
  <si>
    <t>Housing units distributed by seats</t>
  </si>
  <si>
    <t>cultural</t>
  </si>
  <si>
    <t>commercial</t>
  </si>
  <si>
    <t>hotel</t>
  </si>
  <si>
    <t>First Name</t>
  </si>
  <si>
    <t>Last Name</t>
  </si>
  <si>
    <t>Email Address</t>
  </si>
  <si>
    <t>Robert</t>
  </si>
  <si>
    <t>Schlaff</t>
  </si>
  <si>
    <t>robert@schlaff.com</t>
  </si>
  <si>
    <t xml:space="preserve">Mark </t>
  </si>
  <si>
    <t>Diller</t>
  </si>
  <si>
    <t>mdiller@nyc.rr.com</t>
  </si>
  <si>
    <t>Ed</t>
  </si>
  <si>
    <t>Aldridge</t>
  </si>
  <si>
    <t>ealdrid1@gmail.com</t>
  </si>
  <si>
    <t>Angeline</t>
  </si>
  <si>
    <t>Huang</t>
  </si>
  <si>
    <t>angeline_huang@yahoo.com</t>
  </si>
  <si>
    <t>Lucas</t>
  </si>
  <si>
    <t>Liu</t>
  </si>
  <si>
    <t>lliu@cec3.org</t>
  </si>
  <si>
    <t>Dan</t>
  </si>
  <si>
    <t>Katz</t>
  </si>
  <si>
    <t>daniel.katz@shu.edu</t>
  </si>
  <si>
    <t>w/all south</t>
  </si>
  <si>
    <t>Seats</t>
  </si>
  <si>
    <t>% of West 60s</t>
  </si>
  <si>
    <t>Actual seat distribution</t>
  </si>
  <si>
    <t>452 is N side of 71</t>
  </si>
  <si>
    <t>2061 bdway is 452</t>
  </si>
  <si>
    <t>WEA to Riv blvd</t>
  </si>
  <si>
    <t>Amst to WEA</t>
  </si>
  <si>
    <t>Ams to col</t>
  </si>
  <si>
    <t>col to cpw</t>
  </si>
  <si>
    <t>199 is south of of 71 but only east of WEA?</t>
  </si>
  <si>
    <t>PS 199</t>
  </si>
  <si>
    <t>Synogogue</t>
  </si>
  <si>
    <t>Synogoue</t>
  </si>
  <si>
    <t xml:space="preserve"> church</t>
  </si>
  <si>
    <t>Kaufman SMS Apple</t>
  </si>
  <si>
    <t>Riverside Blvd.</t>
  </si>
  <si>
    <t>West 67th St</t>
  </si>
  <si>
    <t>Central Park Wqest</t>
  </si>
  <si>
    <t>ABC</t>
  </si>
  <si>
    <t>Phillips club</t>
  </si>
  <si>
    <t>191 starts south of 66</t>
  </si>
  <si>
    <t>MLK HS</t>
  </si>
  <si>
    <t xml:space="preserve"> church/syn</t>
  </si>
  <si>
    <t xml:space="preserve"> ABC</t>
  </si>
  <si>
    <t>LDS</t>
  </si>
  <si>
    <t>school</t>
  </si>
  <si>
    <t>church</t>
  </si>
  <si>
    <t>…</t>
  </si>
  <si>
    <t>Laguardia HS</t>
  </si>
  <si>
    <t>Park</t>
  </si>
  <si>
    <t>80 WEA</t>
  </si>
  <si>
    <t>this is 191</t>
  </si>
  <si>
    <t>West Side Y</t>
  </si>
  <si>
    <t>Ethical culture church and school</t>
  </si>
  <si>
    <t>Empire hotel</t>
  </si>
  <si>
    <t>Offices</t>
  </si>
  <si>
    <t>Collegiate Sc</t>
  </si>
  <si>
    <t>Fordham U</t>
  </si>
  <si>
    <t xml:space="preserve">Heschel </t>
  </si>
  <si>
    <t>PS 191</t>
  </si>
  <si>
    <t>Riverside</t>
  </si>
  <si>
    <t>ps/is 342</t>
  </si>
  <si>
    <t>South</t>
  </si>
  <si>
    <t>Park /Rec center (this block is 191</t>
  </si>
  <si>
    <t>Roosevelt Hospital</t>
  </si>
  <si>
    <t>Pro Child sch</t>
  </si>
  <si>
    <t>d2/111</t>
  </si>
  <si>
    <t>currently zoned 191</t>
  </si>
  <si>
    <t>10-80 Columbus Circle (not in D3 191</t>
  </si>
  <si>
    <t>* very new or under construction</t>
  </si>
  <si>
    <t>**Most are studio or 1-bed</t>
  </si>
  <si>
    <t>***many combined units</t>
  </si>
  <si>
    <t>~hotel riverside studios is an SRO</t>
  </si>
  <si>
    <t>check WEA at 63</t>
  </si>
  <si>
    <t>I got through 11 of 46 Lincoln Square pages on Streeteasy</t>
  </si>
  <si>
    <t>Apartable.com</t>
  </si>
  <si>
    <t>Streeteasy</t>
  </si>
  <si>
    <t>Propertyshark</t>
  </si>
  <si>
    <t xml:space="preserve">(102) (1) (1) (8) </t>
  </si>
  <si>
    <t>(8) (9) (23) (2) (7)</t>
  </si>
  <si>
    <t>(5) (1) (17) (2)</t>
  </si>
  <si>
    <t>(34) (6) (9) (2) (10)</t>
  </si>
  <si>
    <t>(365)~ (8) (1)  (1) (8) (2) (2)</t>
  </si>
  <si>
    <t>(2) (3) (2) (2) (2) (2)</t>
  </si>
  <si>
    <t>(2) (2) (148)</t>
  </si>
  <si>
    <t>(53) (20) (8) (2)</t>
  </si>
  <si>
    <t>(7) (1) (8) (8) (1) (8) (1)</t>
  </si>
  <si>
    <t>(3) (3) (8) (6) (10) (169) (1)</t>
  </si>
  <si>
    <t>(3) (3) (37) (5) (6)</t>
  </si>
  <si>
    <t>(36) (6) (1)</t>
  </si>
  <si>
    <t>(3) (3) (2)</t>
  </si>
  <si>
    <t>(185) (43)</t>
  </si>
  <si>
    <t>(114) (9) (30) (10)</t>
  </si>
  <si>
    <t>(7) (7) (6) (8) (5) (53)</t>
  </si>
  <si>
    <t>(61) (42) (4) (5) (6)</t>
  </si>
  <si>
    <t>(7) (7) (8) (7)</t>
  </si>
  <si>
    <t>(185) (229)</t>
  </si>
  <si>
    <t>(18) (8) (10) (20) (10)</t>
  </si>
  <si>
    <t>(10) (10) (1) (10)</t>
  </si>
  <si>
    <t>(36) (84)</t>
  </si>
  <si>
    <t>(4) (9) (10) (5)</t>
  </si>
  <si>
    <t>(7) (7) (10) (5) (5) (3) (8)</t>
  </si>
  <si>
    <t>(4) (6) (10) (3) (31) (4) (10)</t>
  </si>
  <si>
    <t>(4) (1) (10) (56)</t>
  </si>
  <si>
    <t>(60) (40) (8)</t>
  </si>
  <si>
    <t xml:space="preserve"> (8) (10) (1) (2)</t>
  </si>
  <si>
    <t>(1) (3) (3) (1) (2)</t>
  </si>
  <si>
    <t xml:space="preserve"> (7) (10) (10) (1) (3)</t>
  </si>
  <si>
    <t>(10) (20) (20) (16)</t>
  </si>
  <si>
    <t>(65) (10) (9) (6) (10) (1) (10)</t>
  </si>
  <si>
    <t>(20) (10) (10) (10) (11)</t>
  </si>
  <si>
    <t>(10) (6) (3) (10) (10) (10)</t>
  </si>
  <si>
    <t>(7) (7) (1) (5) (83)</t>
  </si>
  <si>
    <t>(39) (12) (92)</t>
  </si>
  <si>
    <t>(10) (36) (11)</t>
  </si>
  <si>
    <t>(36) (14)</t>
  </si>
  <si>
    <t>(7) (10) (15) (4) (13) (10)</t>
  </si>
  <si>
    <t>(10) (9) (4) (15) (9) (10)</t>
  </si>
  <si>
    <t>(14) (1) (13) (9) (12) (9)</t>
  </si>
  <si>
    <t xml:space="preserve">(8) (20) (19) (11) (11) </t>
  </si>
  <si>
    <t>(14) (14) (1) (42)</t>
  </si>
  <si>
    <t>(15) (30)</t>
  </si>
  <si>
    <t>(16) (16) (12)</t>
  </si>
  <si>
    <t>(16) (11) (9) (10) (10) (11) (10) (14) (16) (11) (10)</t>
  </si>
  <si>
    <t>(1) (10) (10) (10) (9) (10) (9) (8)</t>
  </si>
  <si>
    <t>(75) (10) (10) (10) (4)</t>
  </si>
  <si>
    <t>(12) (172)</t>
  </si>
  <si>
    <t>(297) (75)</t>
  </si>
  <si>
    <t>(6) (58) (13) (10) (73)</t>
  </si>
  <si>
    <t>(30) (45)</t>
  </si>
  <si>
    <t>(1) (10) (1) (4) (4) (2) (19)</t>
  </si>
  <si>
    <t xml:space="preserve">33 W 67 (35) </t>
  </si>
  <si>
    <t>(173) (41) (35)</t>
  </si>
  <si>
    <t>(32) (73)</t>
  </si>
  <si>
    <t>(119) (58)</t>
  </si>
  <si>
    <t>(12) (8) (12) (12)</t>
  </si>
  <si>
    <t>(60) (39)</t>
  </si>
  <si>
    <t>office &amp; ayn</t>
  </si>
  <si>
    <t>LDS church</t>
  </si>
  <si>
    <t>(21) (54)</t>
  </si>
  <si>
    <t>(229) (53)</t>
  </si>
  <si>
    <t>(20) (8) (20) (44) (86)</t>
  </si>
  <si>
    <t>(10) (40)</t>
  </si>
  <si>
    <t>(34) (15)</t>
  </si>
  <si>
    <t>(68) (53) (45)</t>
  </si>
  <si>
    <t>(54) (20)</t>
  </si>
  <si>
    <t>(28) (37) (94)</t>
  </si>
  <si>
    <t>(15) (6)</t>
  </si>
  <si>
    <t>Park /Rec center (this block is 191)</t>
  </si>
  <si>
    <t>10 CC</t>
  </si>
  <si>
    <t>10-80 Columbus Circle (not in D3 191)</t>
  </si>
  <si>
    <t>115 CPW (87)</t>
  </si>
  <si>
    <t xml:space="preserve">246 WEA (102) 271 (1) 269 (1) 267 (8) </t>
  </si>
  <si>
    <t xml:space="preserve">265 (8) 261-3 (9) 251 (23) 245 (2) 243 (7) </t>
  </si>
  <si>
    <t>241 W 71 (5) 239 (1) 235 W 71 (17) 229 (2)</t>
  </si>
  <si>
    <t>225 W 71 (34) 219 (6) 217 (9) 215 (2) 213 (10)</t>
  </si>
  <si>
    <t xml:space="preserve">211 (58) </t>
  </si>
  <si>
    <t>17 -- 75 W 71 (183 units in 87)</t>
  </si>
  <si>
    <t>220 Riverside blvd (419)</t>
  </si>
  <si>
    <t>342-350 W 71 (365)~ 340 (8) 338 (1) 336 (1) 334 (8) 332 (2) 326 (2)</t>
  </si>
  <si>
    <t>324 (2) 322 (3) 320 (2) 318 (2) 316 (2) 314 (2)</t>
  </si>
  <si>
    <t>312 (2) 310 (2) 235 WEA (148 in 199)</t>
  </si>
  <si>
    <t>240 WEA (53) 276 (20) 274 (8) 264 W 71 (2)</t>
  </si>
  <si>
    <t>262 (7) 260 (1) 258 (8) 254 (8) 252 (1) 250 (8) 248 (1)</t>
  </si>
  <si>
    <t>246 (3) 244 (3) 242 (8) 240 (6) 238 (10) 228 W 71 st (169) 226 (1)</t>
  </si>
  <si>
    <t>224 (3) 222 (3) 220 (37) 214 (5) 212 (6)</t>
  </si>
  <si>
    <t>2039 Broadway (378)</t>
  </si>
  <si>
    <t>6 to 64 W 71 (160 units in 87)</t>
  </si>
  <si>
    <t>101 CPW (104 in 87)</t>
  </si>
  <si>
    <t>345 (36) 339 (6) 337 (1)</t>
  </si>
  <si>
    <t>335 (3) 333 (3) 331 (2)</t>
  </si>
  <si>
    <t>315 W 70 (185) 225 WEA (43)</t>
  </si>
  <si>
    <t>230 WEA (114) 271 (9) 267 (30) 263 (10)</t>
  </si>
  <si>
    <t>261 (7) 259 (7) 257 (6) 255 (8) 251-253 (5) 243 (53)</t>
  </si>
  <si>
    <t>235 (61) 225 (42) 223 (4) 221 (5) 219 (6)</t>
  </si>
  <si>
    <t>217 (7) 215 (7) 213 W 70 (8) 211 W 70 (7)</t>
  </si>
  <si>
    <t>200 Riverside blvd (362)</t>
  </si>
  <si>
    <t>Freedom Place</t>
  </si>
  <si>
    <t>205 WEA (543)</t>
  </si>
  <si>
    <t>200 WEA (173)</t>
  </si>
  <si>
    <t>210 W 70 (185) 212-220 Amst (229)</t>
  </si>
  <si>
    <t>2025 Broadway (264)</t>
  </si>
  <si>
    <t>2028-2030 Bdway (179)</t>
  </si>
  <si>
    <t>148 (18) 146 (8) 144 (10) 142 (20) 138 (10)</t>
  </si>
  <si>
    <t>136 (10) 134 (10) 130 (1) 128 (10)</t>
  </si>
  <si>
    <t>120 W 70 (38) 114 (36) 104 W 70 (84)</t>
  </si>
  <si>
    <t>219 Columbus (4) 64 (9) 62 (10) 60 (5)</t>
  </si>
  <si>
    <t>58 (7) 56 (7) 54 (10) 52 (5) 50 (5) 48 (3) 46 (8)</t>
  </si>
  <si>
    <t>44 (4) 42 (6) 40 (10) 38 (3) 30 (31) 28 (4) 26 (10)</t>
  </si>
  <si>
    <t>24 (4) 22 (1) 20 (10 18 (56)</t>
  </si>
  <si>
    <t>school &amp; church</t>
  </si>
  <si>
    <t>2020-2026 Bdway (60) 143-145 (40) 141 (8)</t>
  </si>
  <si>
    <t>139 (8) 137 (10) 135 (1) 133 (2) 131 (1) 129 (3) 127 (3)</t>
  </si>
  <si>
    <t>125 (1) 123 (2) 121 (7) 119 (10) 117 (10) 115 (1) 113 (3)</t>
  </si>
  <si>
    <t>111 (10) 107-109 (20) 103-105 (20) 101 W 69 (16)</t>
  </si>
  <si>
    <t>201 Columbus (65) 65 (10) 63 (9) 61 (6) 59 (10) 57 (1) 55 (10)</t>
  </si>
  <si>
    <t>53-51 (20) 49 (10) 47 (10) 45 (10) 43 (11)</t>
  </si>
  <si>
    <t>41 (10) 39 (6) 37 (3) 35 (10) 33 (10) 31 (10)</t>
  </si>
  <si>
    <t>29 (7) 27 (7) 25 (1) 23 (5) 19 (83)</t>
  </si>
  <si>
    <t>11 W 69 (39) 9 W 69 (12) 91 CPW (92)</t>
  </si>
  <si>
    <t>180 WEA (452)</t>
  </si>
  <si>
    <t>180 Riverside blvd (516)</t>
  </si>
  <si>
    <t>185 WEA (432)</t>
  </si>
  <si>
    <t>170 WEA (484)</t>
  </si>
  <si>
    <t>155 W 68 (680)</t>
  </si>
  <si>
    <t>140 W 69 (241)</t>
  </si>
  <si>
    <t>116-118 (10) 110 (36) 108 (11)</t>
  </si>
  <si>
    <t>106 (36) 100 (14)</t>
  </si>
  <si>
    <t>76 (7) 74 (10) 72 (15) 70 (4) 68 (13) 66 (10)</t>
  </si>
  <si>
    <t>64 (10) 62 (9) 52 (4) 50 (15) 46 (9) 44 (10)</t>
  </si>
  <si>
    <t>42 (14) 40 (1) 38 (13) 36 (9) 34 (12) 32 (9)</t>
  </si>
  <si>
    <t xml:space="preserve">30 (8) 28 (20) 24 (19) 20 (11) 18 (11) </t>
  </si>
  <si>
    <t>16 (14) 14 (14) 12 (1) 88 CPW (42)</t>
  </si>
  <si>
    <t>2000 Broadway (160)</t>
  </si>
  <si>
    <t>111 W 68 (15) 107 W 68 (30)</t>
  </si>
  <si>
    <t>186-8 Col (16) 182-4 Col (16) 180 Col (12)</t>
  </si>
  <si>
    <t>77 (16) 75 (11) 73 (9) 71 (10) 69 (10) 67 (11)</t>
  </si>
  <si>
    <t>65 (10) 63 (14) 61 (16) 57 (11) 55 (10) 53 (1) 51 (10)</t>
  </si>
  <si>
    <t>49 W 68 (10) 47 (10) 45 (9) 43 (10) 41 (9) 39 W 68 (8)</t>
  </si>
  <si>
    <t>25 (75) 23 (10) 21 (10) 19 (10) 17 (4)</t>
  </si>
  <si>
    <t>15 W 68 (12) 80 CPW (172)</t>
  </si>
  <si>
    <t>160 Riverside blvd (455)</t>
  </si>
  <si>
    <t>165 WEA (403)</t>
  </si>
  <si>
    <t>160 WEA (508)</t>
  </si>
  <si>
    <t>170 Amst* (235)</t>
  </si>
  <si>
    <t>145 W 67 (448)</t>
  </si>
  <si>
    <t>146-148 W 68 (46)</t>
  </si>
  <si>
    <t>1995 Bdway (297) 1991 Bdway (75)</t>
  </si>
  <si>
    <t>101 W 67 (271)</t>
  </si>
  <si>
    <t>78 w 68 (6)74 (58) 70 (13) 68 (10) 60-66 (73)</t>
  </si>
  <si>
    <t>58 (30) 48-50 W 68 (45)</t>
  </si>
  <si>
    <t>school and synagogue</t>
  </si>
  <si>
    <t>26 (1) 24 (10) 22 (1) 20 (4) 18 (4) 16 (2) 14 W 68 st (19)</t>
  </si>
  <si>
    <t>137 W 67 (10)</t>
  </si>
  <si>
    <t>Apple store</t>
  </si>
  <si>
    <t>45 W 67 (173)</t>
  </si>
  <si>
    <t>39 (41) 33 (35)</t>
  </si>
  <si>
    <t>27 W 67 (32), 17 W 67 (73)</t>
  </si>
  <si>
    <t>15 W 67 (31)</t>
  </si>
  <si>
    <t>11 W 67  (119), 75 CPW (58)</t>
  </si>
  <si>
    <t>150 WEA (454)</t>
  </si>
  <si>
    <t>140 Riverside blvd (354)</t>
  </si>
  <si>
    <t>200 W 67 (275)</t>
  </si>
  <si>
    <t>148 W 67 / 155 Amst (20)</t>
  </si>
  <si>
    <t>130 W 67 (245)</t>
  </si>
  <si>
    <t>1965 Broadway (205)</t>
  </si>
  <si>
    <t>100 W 67 (12) 156 Col (8) 154 Col (12)</t>
  </si>
  <si>
    <t>50 W 67 (60) 40 W 67 (39)</t>
  </si>
  <si>
    <t>70 CPW (67)</t>
  </si>
  <si>
    <t>303 W 66 (420)</t>
  </si>
  <si>
    <t>140 WEA (561)</t>
  </si>
  <si>
    <t>165 W 66 / 141 Amst (376)</t>
  </si>
  <si>
    <t>152 Col (12) 150 Col (143)</t>
  </si>
  <si>
    <t xml:space="preserve"> 65 CPW (107)</t>
  </si>
  <si>
    <t>120 Riverside blvd (276)</t>
  </si>
  <si>
    <t>160 W 66 (345)</t>
  </si>
  <si>
    <t>60 W 66 (320)</t>
  </si>
  <si>
    <t xml:space="preserve"> office (and syn) 150 u's*</t>
  </si>
  <si>
    <t>22 W 66 (26)</t>
  </si>
  <si>
    <t>5 W 65 (274)</t>
  </si>
  <si>
    <t>55 CPW (109)</t>
  </si>
  <si>
    <t>35 W 65 (21) 29 W 65 (54)</t>
  </si>
  <si>
    <t>100 Riverside blvd (266)</t>
  </si>
  <si>
    <t>101 WEA (503)</t>
  </si>
  <si>
    <t>110-116 WEA (186) is in 199</t>
  </si>
  <si>
    <t>240-254 W 65 (175)</t>
  </si>
  <si>
    <t>1930 Broadway (229)*</t>
  </si>
  <si>
    <t>56 W 65 (53) 46 (20) 44 (8)</t>
  </si>
  <si>
    <t>42 W 65 (20) 34 W 65 (44) 10 W 65 (86)</t>
  </si>
  <si>
    <t>8 W 65 (10) 50 CPW (40)</t>
  </si>
  <si>
    <t>43 W 64 (34) 41 W 64 (15) 35 (68) 25 (53)</t>
  </si>
  <si>
    <t>29 W 64 (45) 17 (54) 15 (20) 15A (28)</t>
  </si>
  <si>
    <t>9 W 64 (37) 1 W 64 (94)</t>
  </si>
  <si>
    <t>80 Riverside blvd (269)</t>
  </si>
  <si>
    <t>244-248 W 64 (96)</t>
  </si>
  <si>
    <t>236-240 W (96)</t>
  </si>
  <si>
    <t>20 W 64/ 1 LPL (655)</t>
  </si>
  <si>
    <t>16 W 64 (15) 14 W 64 (6)</t>
  </si>
  <si>
    <t>237-245 Thelonius Monk (41x4=164)</t>
  </si>
  <si>
    <t>33 (24) 15 W 63 (51)</t>
  </si>
  <si>
    <t>60 Riverside blvd (259)</t>
  </si>
  <si>
    <t>400 W 63 (209)</t>
  </si>
  <si>
    <t>55-75 WEA (1,000)</t>
  </si>
  <si>
    <t>40-94 Amsterdam Ave Amsterdam Houses (1,080)</t>
  </si>
  <si>
    <t>30 W 63 (490)</t>
  </si>
  <si>
    <t>25 CPW (422)</t>
  </si>
  <si>
    <t>61 W 62nd (276)</t>
  </si>
  <si>
    <t>One Riverside Park  (274)</t>
  </si>
  <si>
    <t>160 W 62 (338)*</t>
  </si>
  <si>
    <t>Fordham housing? (211)</t>
  </si>
  <si>
    <t>42-53 W 62 (158)</t>
  </si>
  <si>
    <t>62 W 62 st (120)</t>
  </si>
  <si>
    <t>15 CPW (202)</t>
  </si>
  <si>
    <t>33 WEA (331)</t>
  </si>
  <si>
    <t>161 W 61 (219)</t>
  </si>
  <si>
    <t>43 W 61 (94)</t>
  </si>
  <si>
    <t>21 WEA (616)</t>
  </si>
  <si>
    <t>229 W 60 (301)</t>
  </si>
  <si>
    <t>246 W 61 (27)</t>
  </si>
  <si>
    <t>45 W 60 (320)</t>
  </si>
  <si>
    <t>30 W 61 (166)</t>
  </si>
  <si>
    <t>1 CPW (156)</t>
  </si>
  <si>
    <t>243 W 60 (40)</t>
  </si>
  <si>
    <t>225 W 60 (79)</t>
  </si>
  <si>
    <t>175 W 60 (256)*</t>
  </si>
  <si>
    <t>Fordham housing?</t>
  </si>
  <si>
    <t>Offices /school</t>
  </si>
  <si>
    <t>1 WEA (365)</t>
  </si>
  <si>
    <t>10 WEA (170)</t>
  </si>
  <si>
    <t>555 West 59 (186)*</t>
  </si>
  <si>
    <t>517 West 59 (465)</t>
  </si>
  <si>
    <t>200 W 60 (381)</t>
  </si>
  <si>
    <t>Pro Child Sch</t>
  </si>
  <si>
    <t>2 Columbus Ave (ps 111/d2)</t>
  </si>
  <si>
    <t>This whole block is D2 zone 111</t>
  </si>
  <si>
    <t>400-428 W 59 (d2/ PS 111)</t>
  </si>
  <si>
    <t>d2/ps 111</t>
  </si>
  <si>
    <t>216 W (452)</t>
  </si>
  <si>
    <t>200 W 72 (196)* 452?</t>
  </si>
  <si>
    <t xml:space="preserve">w 70 </t>
  </si>
  <si>
    <t>W 71</t>
  </si>
  <si>
    <t>243 WEA (452)</t>
  </si>
  <si>
    <t>211 (58) 2061 bdway (5)</t>
  </si>
  <si>
    <t>271 (9) 267 (30) 263 (10) 261 (7) 259 (7) 257 (6) 255 (8) 243 (53) 235 (61) 225 W 70 (42)</t>
  </si>
  <si>
    <t>324 (2) 322 (3) 320 (2) 318 (2) 316 (2) 314 (2) 312 (2) 310 (2)</t>
  </si>
  <si>
    <t>235 WEA (148 in 199)</t>
  </si>
  <si>
    <t>262 (7) 260 (1) 258 (8) 254 (8) 252 (1) 250 (8) 248(1)</t>
  </si>
  <si>
    <t>246 (3) 244 (3) 242 (8) 240 (6) 238 (10) 228 W 71 st (169) 226 (1) 224 (3) 222 (3) 220 (37) 214 (5) 212 (6)</t>
  </si>
  <si>
    <t>160 W 71 (303 in 87)</t>
  </si>
  <si>
    <t>223 (4) 221 (5) 219 (6) 217 (7) 215 (7) 213 W 70 (9) 211 W 70 (7) = 45</t>
  </si>
  <si>
    <t>345 W 70 (36)</t>
  </si>
  <si>
    <t>339 (6) 337 (1) 335 (3) 333 (3) 331 (2)</t>
  </si>
  <si>
    <t>230 WEA (114) 271 (9) 267 (30) 263 (10) 261 (7) 259 (7) 257 (6) 255 (8) 251-253 (5) 243 (53) 235 (61) 225 W 70 (42)</t>
  </si>
  <si>
    <t>223 (4) 221 (5) 219 (6) 217 (7) 215 (7) 213 W 70 (8) 211 W 70 (7)</t>
  </si>
  <si>
    <t xml:space="preserve">=656 units </t>
  </si>
  <si>
    <t>135 W 70 (87)</t>
  </si>
  <si>
    <t>103 W 70 (10)</t>
  </si>
  <si>
    <t>120 W 70 (38)</t>
  </si>
  <si>
    <t>114 (36) 104 W 70 (84)</t>
  </si>
  <si>
    <t>139 (8) 137 (10) 135 (1) 133 (2)</t>
  </si>
  <si>
    <t>131 (1) 129 (3) 127 (3) 125 (1) 123 (2)</t>
  </si>
  <si>
    <t>121 (7) 119 (10) 117 (10) 115 (1) 113 (3)</t>
  </si>
  <si>
    <t>116-118 W 69 (10)</t>
  </si>
  <si>
    <t>110 (36) 108 (11)</t>
  </si>
  <si>
    <t>186-8 Col (16) 182-4 Col (16) 180 Col Ave (12)</t>
  </si>
  <si>
    <t>77 (16) 75 (11) 73 (9) 71 (10) 69 (10) 67 (11) 65 (10) 63 (14) 61 (16) 57 (11) 55 (10)</t>
  </si>
  <si>
    <t>53 (1) 51 (10) 49 W 68 (10) 47 (10) 45 (9) 43 (10) 41 (9) 39 W 68 (8)</t>
  </si>
  <si>
    <t>1991 Bdway (75) 1995 Bdway (297)</t>
  </si>
  <si>
    <t>111 W 67 (281)</t>
  </si>
  <si>
    <t>78 w 68 (6)74 (58) 70 (13) 68 (10) 60-66 (73) 58 (30) 50 (45)</t>
  </si>
  <si>
    <t>48 W 68 (45)</t>
  </si>
  <si>
    <t>26 (1) 24 (10) 22 (1)</t>
  </si>
  <si>
    <t>20 (4) 18 (4) 16 (2) 14 W 68 st (19)</t>
  </si>
  <si>
    <t>45 W 67 (173), 39 W 67 (41), 33 W 67 (35)</t>
  </si>
  <si>
    <t>200 W 67 (275)**</t>
  </si>
  <si>
    <t>broadway</t>
  </si>
  <si>
    <t>100 W 67 (12) 156 Col (8) 154 Col (12) 152 Col (12)</t>
  </si>
  <si>
    <t>303 W 66 (420)***</t>
  </si>
  <si>
    <t>150 Columbus (143)</t>
  </si>
  <si>
    <t>1930 Broadway (229)</t>
  </si>
  <si>
    <t>56 W 65 (53)</t>
  </si>
  <si>
    <t>46 W 65 (20) 44 W 65 (8) 42 W 65 (20) 34 W 65 (44) 10 W 65 (86)</t>
  </si>
  <si>
    <t>43 W 64 (34) 41 W 64 (15)</t>
  </si>
  <si>
    <t>35 W 64 68)25 W 64 (53) 29 W 64 (45)</t>
  </si>
  <si>
    <t>17 W 64 st (54) 15 W 64 (20) 15 A W 64 (28) 9 W 64 (37) 1 W 64 (94)</t>
  </si>
  <si>
    <t>20 W 64/ 1 LPL (655)***</t>
  </si>
  <si>
    <t>33 W 63 (24)</t>
  </si>
  <si>
    <t>15 W 63 (51)</t>
  </si>
  <si>
    <t>One Riverside Parl /50 riv (274)</t>
  </si>
  <si>
    <t>10 WEA (174)</t>
  </si>
  <si>
    <t>124 W 60 (498) in d2/111</t>
  </si>
  <si>
    <t>30 W 60 (575)</t>
  </si>
  <si>
    <t>20 w 60</t>
  </si>
  <si>
    <t>400-428 W 59 (d2)</t>
  </si>
  <si>
    <t>north side of 69 betw col and cpw</t>
  </si>
  <si>
    <t>north side of w 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</si>
</sst>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_);_(* \(#,##0\);_(* \-??_);_(@_)"/>
    <numFmt numFmtId="165" formatCode="_(* #,##0.00_);_(* \(#,##0.00\);_(* \-??_);_(@_)"/>
  </numFmts>
  <fonts count="22" x14ac:knownFonts="1">
    <font>
      <sz val="10"/>
      <name val="Arial"/>
      <family val="2"/>
    </font>
    <font>
      <sz val="11"/>
      <color indexed="8"/>
      <name val="Calibri"/>
      <family val="2"/>
    </font>
    <font>
      <sz val="11"/>
      <color indexed="8"/>
      <name val="Arial"/>
      <family val="2"/>
    </font>
    <font>
      <sz val="9"/>
      <color indexed="10"/>
      <name val="Arial"/>
      <family val="2"/>
    </font>
    <font>
      <b/>
      <sz val="11"/>
      <color indexed="8"/>
      <name val="Arial"/>
      <family val="2"/>
    </font>
    <font>
      <sz val="10"/>
      <color indexed="8"/>
      <name val="Arial"/>
      <family val="2"/>
    </font>
    <font>
      <sz val="11"/>
      <color indexed="54"/>
      <name val="Arial"/>
      <family val="2"/>
    </font>
    <font>
      <sz val="11"/>
      <color indexed="23"/>
      <name val="Arial"/>
      <family val="2"/>
    </font>
    <font>
      <sz val="9"/>
      <color indexed="8"/>
      <name val="Arial"/>
      <family val="2"/>
    </font>
    <font>
      <i/>
      <sz val="11"/>
      <color indexed="8"/>
      <name val="Calibri"/>
      <family val="2"/>
    </font>
    <font>
      <sz val="11"/>
      <color indexed="55"/>
      <name val="Arial"/>
      <family val="2"/>
    </font>
    <font>
      <b/>
      <i/>
      <sz val="11"/>
      <color indexed="8"/>
      <name val="Calibri"/>
      <family val="2"/>
    </font>
    <font>
      <sz val="10"/>
      <color indexed="12"/>
      <name val="Arial"/>
      <family val="2"/>
    </font>
    <font>
      <sz val="10"/>
      <color indexed="8"/>
      <name val="Arial"/>
      <family val="2"/>
      <charset val="1"/>
    </font>
    <font>
      <b/>
      <sz val="10"/>
      <color indexed="8"/>
      <name val="Arial"/>
      <family val="2"/>
      <charset val="1"/>
    </font>
    <font>
      <sz val="10"/>
      <color indexed="54"/>
      <name val="Arial"/>
      <family val="2"/>
      <charset val="1"/>
    </font>
    <font>
      <sz val="10"/>
      <color indexed="23"/>
      <name val="Arial"/>
      <family val="2"/>
      <charset val="1"/>
    </font>
    <font>
      <i/>
      <sz val="10"/>
      <color indexed="8"/>
      <name val="Arial"/>
      <family val="2"/>
      <charset val="1"/>
    </font>
    <font>
      <sz val="10"/>
      <color indexed="55"/>
      <name val="Arial"/>
      <family val="2"/>
      <charset val="1"/>
    </font>
    <font>
      <b/>
      <i/>
      <sz val="10"/>
      <color indexed="8"/>
      <name val="Arial"/>
      <family val="2"/>
      <charset val="1"/>
    </font>
    <font>
      <sz val="11"/>
      <color indexed="22"/>
      <name val="Arial"/>
      <family val="2"/>
    </font>
    <font>
      <b/>
      <sz val="14"/>
      <color indexed="8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indexed="42"/>
        <bgColor indexed="31"/>
      </patternFill>
    </fill>
    <fill>
      <patternFill patternType="solid">
        <fgColor indexed="45"/>
        <bgColor indexed="47"/>
      </patternFill>
    </fill>
    <fill>
      <patternFill patternType="solid">
        <fgColor indexed="9"/>
        <bgColor indexed="42"/>
      </patternFill>
    </fill>
    <fill>
      <patternFill patternType="solid">
        <fgColor indexed="50"/>
        <bgColor indexed="22"/>
      </patternFill>
    </fill>
    <fill>
      <patternFill patternType="solid">
        <fgColor indexed="51"/>
        <bgColor indexed="52"/>
      </patternFill>
    </fill>
    <fill>
      <patternFill patternType="solid">
        <fgColor indexed="44"/>
        <bgColor indexed="22"/>
      </patternFill>
    </fill>
    <fill>
      <patternFill patternType="solid">
        <fgColor indexed="48"/>
        <bgColor indexed="25"/>
      </patternFill>
    </fill>
    <fill>
      <patternFill patternType="solid">
        <fgColor indexed="29"/>
        <bgColor indexed="53"/>
      </patternFill>
    </fill>
    <fill>
      <patternFill patternType="solid">
        <fgColor indexed="31"/>
        <bgColor indexed="42"/>
      </patternFill>
    </fill>
    <fill>
      <patternFill patternType="solid">
        <fgColor indexed="23"/>
        <bgColor indexed="54"/>
      </patternFill>
    </fill>
    <fill>
      <patternFill patternType="solid">
        <fgColor indexed="43"/>
        <bgColor indexed="47"/>
      </patternFill>
    </fill>
    <fill>
      <patternFill patternType="solid">
        <fgColor indexed="57"/>
        <bgColor indexed="21"/>
      </patternFill>
    </fill>
    <fill>
      <patternFill patternType="solid">
        <fgColor indexed="27"/>
        <bgColor indexed="42"/>
      </patternFill>
    </fill>
    <fill>
      <patternFill patternType="solid">
        <fgColor indexed="47"/>
        <bgColor indexed="45"/>
      </patternFill>
    </fill>
    <fill>
      <patternFill patternType="solid">
        <fgColor indexed="52"/>
        <bgColor indexed="51"/>
      </patternFill>
    </fill>
    <fill>
      <patternFill patternType="solid">
        <fgColor indexed="46"/>
        <bgColor indexed="24"/>
      </patternFill>
    </fill>
    <fill>
      <patternFill patternType="solid">
        <fgColor indexed="19"/>
        <bgColor indexed="55"/>
      </patternFill>
    </fill>
    <fill>
      <patternFill patternType="solid">
        <fgColor indexed="25"/>
        <bgColor indexed="48"/>
      </patternFill>
    </fill>
    <fill>
      <patternFill patternType="solid">
        <fgColor indexed="24"/>
        <bgColor indexed="19"/>
      </patternFill>
    </fill>
  </fills>
  <borders count="34">
    <border>
      <left/>
      <right/>
      <top/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/>
      <bottom/>
      <diagonal/>
    </border>
    <border>
      <left/>
      <right style="hair">
        <color indexed="8"/>
      </right>
      <top/>
      <bottom/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/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/>
      <bottom/>
      <diagonal/>
    </border>
    <border>
      <left/>
      <right style="thick">
        <color indexed="8"/>
      </right>
      <top/>
      <bottom/>
      <diagonal/>
    </border>
    <border>
      <left style="thick">
        <color indexed="8"/>
      </left>
      <right/>
      <top/>
      <bottom style="thick">
        <color indexed="8"/>
      </bottom>
      <diagonal/>
    </border>
    <border>
      <left/>
      <right/>
      <top/>
      <bottom style="thick">
        <color indexed="8"/>
      </bottom>
      <diagonal/>
    </border>
    <border>
      <left/>
      <right style="thick">
        <color indexed="8"/>
      </right>
      <top/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4">
    <xf numFmtId="0" fontId="0" fillId="0" borderId="0"/>
    <xf numFmtId="165" fontId="1" fillId="0" borderId="0"/>
    <xf numFmtId="9" fontId="1" fillId="0" borderId="0"/>
    <xf numFmtId="0" fontId="1" fillId="0" borderId="0"/>
  </cellStyleXfs>
  <cellXfs count="411">
    <xf numFmtId="0" fontId="0" fillId="0" borderId="0" xfId="0"/>
    <xf numFmtId="0" fontId="2" fillId="0" borderId="0" xfId="3" applyFont="1"/>
    <xf numFmtId="0" fontId="3" fillId="0" borderId="1" xfId="3" applyFont="1" applyBorder="1"/>
    <xf numFmtId="0" fontId="4" fillId="0" borderId="0" xfId="3" applyFont="1"/>
    <xf numFmtId="0" fontId="2" fillId="0" borderId="0" xfId="3" applyFont="1" applyAlignment="1">
      <alignment horizontal="center" wrapText="1"/>
    </xf>
    <xf numFmtId="0" fontId="3" fillId="0" borderId="1" xfId="3" applyFont="1" applyBorder="1" applyAlignment="1">
      <alignment horizontal="center" wrapText="1"/>
    </xf>
    <xf numFmtId="0" fontId="2" fillId="0" borderId="0" xfId="3" applyFont="1" applyFill="1"/>
    <xf numFmtId="0" fontId="2" fillId="2" borderId="0" xfId="3" applyFont="1" applyFill="1"/>
    <xf numFmtId="0" fontId="2" fillId="2" borderId="0" xfId="3" applyFont="1" applyFill="1" applyBorder="1" applyAlignment="1">
      <alignment horizontal="center" wrapText="1"/>
    </xf>
    <xf numFmtId="0" fontId="2" fillId="2" borderId="0" xfId="3" applyFont="1" applyFill="1" applyAlignment="1">
      <alignment horizontal="right"/>
    </xf>
    <xf numFmtId="0" fontId="2" fillId="0" borderId="0" xfId="3" applyFont="1" applyFill="1" applyAlignment="1">
      <alignment horizontal="left"/>
    </xf>
    <xf numFmtId="164" fontId="3" fillId="0" borderId="1" xfId="3" applyNumberFormat="1" applyFont="1" applyBorder="1"/>
    <xf numFmtId="0" fontId="2" fillId="3" borderId="0" xfId="3" applyFont="1" applyFill="1" applyAlignment="1">
      <alignment horizontal="center" vertical="center" wrapText="1"/>
    </xf>
    <xf numFmtId="0" fontId="2" fillId="0" borderId="0" xfId="3" applyFont="1" applyAlignment="1">
      <alignment horizontal="center"/>
    </xf>
    <xf numFmtId="0" fontId="2" fillId="2" borderId="0" xfId="3" applyFont="1" applyFill="1" applyAlignment="1">
      <alignment horizontal="center"/>
    </xf>
    <xf numFmtId="0" fontId="2" fillId="0" borderId="0" xfId="3" applyFont="1" applyBorder="1" applyAlignment="1">
      <alignment horizontal="center" vertical="center" wrapText="1"/>
    </xf>
    <xf numFmtId="0" fontId="2" fillId="0" borderId="3" xfId="3" applyFont="1" applyBorder="1" applyAlignment="1">
      <alignment horizontal="center"/>
    </xf>
    <xf numFmtId="0" fontId="4" fillId="4" borderId="5" xfId="3" applyFont="1" applyFill="1" applyBorder="1" applyAlignment="1">
      <alignment vertical="center"/>
    </xf>
    <xf numFmtId="0" fontId="5" fillId="0" borderId="6" xfId="3" applyFont="1" applyBorder="1" applyAlignment="1">
      <alignment horizontal="center" vertical="top" wrapText="1"/>
    </xf>
    <xf numFmtId="0" fontId="2" fillId="0" borderId="0" xfId="3" applyFont="1" applyAlignment="1">
      <alignment vertical="top"/>
    </xf>
    <xf numFmtId="0" fontId="2" fillId="0" borderId="0" xfId="3" applyFont="1" applyAlignment="1">
      <alignment horizontal="right" vertical="top"/>
    </xf>
    <xf numFmtId="0" fontId="2" fillId="5" borderId="0" xfId="3" applyFont="1" applyFill="1" applyAlignment="1">
      <alignment horizontal="right" vertical="top"/>
    </xf>
    <xf numFmtId="0" fontId="2" fillId="0" borderId="7" xfId="3" applyFont="1" applyBorder="1"/>
    <xf numFmtId="0" fontId="2" fillId="5" borderId="8" xfId="3" applyFont="1" applyFill="1" applyBorder="1" applyAlignment="1">
      <alignment horizontal="center"/>
    </xf>
    <xf numFmtId="0" fontId="2" fillId="0" borderId="0" xfId="3" applyFont="1" applyAlignment="1">
      <alignment horizontal="left"/>
    </xf>
    <xf numFmtId="0" fontId="2" fillId="0" borderId="4" xfId="3" applyFont="1" applyBorder="1"/>
    <xf numFmtId="0" fontId="2" fillId="0" borderId="5" xfId="3" applyFont="1" applyBorder="1"/>
    <xf numFmtId="0" fontId="6" fillId="0" borderId="9" xfId="3" applyFont="1" applyBorder="1" applyAlignment="1">
      <alignment horizontal="right"/>
    </xf>
    <xf numFmtId="0" fontId="2" fillId="0" borderId="7" xfId="3" applyFont="1" applyBorder="1" applyAlignment="1">
      <alignment horizontal="center"/>
    </xf>
    <xf numFmtId="0" fontId="2" fillId="0" borderId="10" xfId="3" applyFont="1" applyBorder="1"/>
    <xf numFmtId="0" fontId="2" fillId="0" borderId="0" xfId="3" applyFont="1" applyBorder="1" applyAlignment="1">
      <alignment horizontal="right"/>
    </xf>
    <xf numFmtId="0" fontId="2" fillId="6" borderId="0" xfId="3" applyFont="1" applyFill="1"/>
    <xf numFmtId="0" fontId="2" fillId="5" borderId="0" xfId="3" applyFont="1" applyFill="1" applyAlignment="1">
      <alignment horizontal="center"/>
    </xf>
    <xf numFmtId="0" fontId="2" fillId="0" borderId="0" xfId="3" applyFont="1" applyBorder="1"/>
    <xf numFmtId="0" fontId="2" fillId="6" borderId="0" xfId="3" applyFont="1" applyFill="1" applyAlignment="1">
      <alignment horizontal="left" vertical="top"/>
    </xf>
    <xf numFmtId="0" fontId="5" fillId="0" borderId="0" xfId="3" applyFont="1" applyAlignment="1">
      <alignment horizontal="center" wrapText="1"/>
    </xf>
    <xf numFmtId="0" fontId="2" fillId="0" borderId="12" xfId="3" applyFont="1" applyBorder="1" applyAlignment="1"/>
    <xf numFmtId="0" fontId="2" fillId="0" borderId="0" xfId="3" applyFont="1" applyAlignment="1">
      <alignment horizontal="right"/>
    </xf>
    <xf numFmtId="0" fontId="2" fillId="0" borderId="2" xfId="3" applyFont="1" applyBorder="1" applyAlignment="1"/>
    <xf numFmtId="0" fontId="2" fillId="0" borderId="0" xfId="3" applyFont="1" applyBorder="1" applyAlignment="1"/>
    <xf numFmtId="0" fontId="2" fillId="0" borderId="7" xfId="3" applyFont="1" applyBorder="1" applyAlignment="1"/>
    <xf numFmtId="0" fontId="2" fillId="0" borderId="0" xfId="3" applyFont="1" applyBorder="1" applyAlignment="1">
      <alignment horizontal="center"/>
    </xf>
    <xf numFmtId="0" fontId="7" fillId="0" borderId="9" xfId="3" applyFont="1" applyBorder="1" applyAlignment="1">
      <alignment horizontal="right"/>
    </xf>
    <xf numFmtId="164" fontId="3" fillId="0" borderId="1" xfId="1" applyNumberFormat="1" applyFont="1" applyFill="1" applyBorder="1" applyAlignment="1" applyProtection="1">
      <alignment horizontal="center" wrapText="1"/>
    </xf>
    <xf numFmtId="0" fontId="5" fillId="0" borderId="0" xfId="3" applyFont="1" applyAlignment="1">
      <alignment horizontal="center" vertical="top" wrapText="1"/>
    </xf>
    <xf numFmtId="0" fontId="5" fillId="0" borderId="0" xfId="3" applyFont="1" applyAlignment="1">
      <alignment horizontal="right" vertical="top" wrapText="1"/>
    </xf>
    <xf numFmtId="0" fontId="2" fillId="5" borderId="0" xfId="3" applyFont="1" applyFill="1"/>
    <xf numFmtId="0" fontId="2" fillId="5" borderId="0" xfId="3" applyFont="1" applyFill="1" applyAlignment="1">
      <alignment horizontal="right"/>
    </xf>
    <xf numFmtId="164" fontId="3" fillId="0" borderId="1" xfId="1" applyNumberFormat="1" applyFont="1" applyFill="1" applyBorder="1" applyAlignment="1" applyProtection="1"/>
    <xf numFmtId="0" fontId="2" fillId="0" borderId="11" xfId="3" applyFont="1" applyBorder="1"/>
    <xf numFmtId="0" fontId="2" fillId="0" borderId="0" xfId="3" applyFont="1" applyBorder="1" applyAlignment="1">
      <alignment vertical="center" wrapText="1"/>
    </xf>
    <xf numFmtId="0" fontId="2" fillId="7" borderId="0" xfId="3" applyFont="1" applyFill="1"/>
    <xf numFmtId="0" fontId="2" fillId="0" borderId="12" xfId="3" applyFont="1" applyBorder="1" applyAlignment="1">
      <alignment horizontal="right" vertical="center"/>
    </xf>
    <xf numFmtId="0" fontId="2" fillId="0" borderId="11" xfId="3" applyFont="1" applyBorder="1" applyAlignment="1"/>
    <xf numFmtId="0" fontId="2" fillId="0" borderId="0" xfId="3" applyFont="1" applyAlignment="1">
      <alignment horizontal="center" vertical="center" textRotation="255"/>
    </xf>
    <xf numFmtId="0" fontId="2" fillId="0" borderId="0" xfId="3" applyFont="1" applyAlignment="1">
      <alignment horizontal="center" vertical="center" wrapText="1"/>
    </xf>
    <xf numFmtId="0" fontId="2" fillId="0" borderId="5" xfId="3" applyFont="1" applyBorder="1" applyAlignment="1">
      <alignment vertical="center" wrapText="1"/>
    </xf>
    <xf numFmtId="0" fontId="5" fillId="0" borderId="5" xfId="3" applyFont="1" applyBorder="1" applyAlignment="1">
      <alignment vertical="center" wrapText="1"/>
    </xf>
    <xf numFmtId="0" fontId="2" fillId="8" borderId="0" xfId="3" applyFont="1" applyFill="1" applyBorder="1" applyAlignment="1">
      <alignment horizontal="center"/>
    </xf>
    <xf numFmtId="0" fontId="2" fillId="0" borderId="13" xfId="3" applyFont="1" applyBorder="1" applyAlignment="1">
      <alignment horizontal="center"/>
    </xf>
    <xf numFmtId="0" fontId="2" fillId="0" borderId="14" xfId="3" applyFont="1" applyBorder="1" applyAlignment="1">
      <alignment horizontal="right"/>
    </xf>
    <xf numFmtId="0" fontId="2" fillId="0" borderId="12" xfId="3" applyFont="1" applyBorder="1"/>
    <xf numFmtId="0" fontId="2" fillId="9" borderId="0" xfId="3" applyFont="1" applyFill="1" applyAlignment="1">
      <alignment horizontal="center"/>
    </xf>
    <xf numFmtId="0" fontId="2" fillId="0" borderId="12" xfId="3" applyFont="1" applyBorder="1" applyAlignment="1">
      <alignment vertical="center" wrapText="1"/>
    </xf>
    <xf numFmtId="164" fontId="2" fillId="0" borderId="0" xfId="1" applyNumberFormat="1" applyFont="1" applyFill="1" applyBorder="1" applyAlignment="1" applyProtection="1">
      <alignment horizontal="center" wrapText="1"/>
    </xf>
    <xf numFmtId="0" fontId="2" fillId="10" borderId="0" xfId="3" applyFont="1" applyFill="1" applyAlignment="1">
      <alignment vertical="center" textRotation="255"/>
    </xf>
    <xf numFmtId="0" fontId="2" fillId="0" borderId="5" xfId="3" applyFont="1" applyBorder="1" applyAlignment="1">
      <alignment horizontal="center" vertical="center" wrapText="1"/>
    </xf>
    <xf numFmtId="0" fontId="2" fillId="12" borderId="0" xfId="3" applyFont="1" applyFill="1"/>
    <xf numFmtId="0" fontId="2" fillId="12" borderId="5" xfId="3" applyFont="1" applyFill="1" applyBorder="1"/>
    <xf numFmtId="0" fontId="2" fillId="8" borderId="0" xfId="3" applyFont="1" applyFill="1" applyAlignment="1">
      <alignment horizontal="center"/>
    </xf>
    <xf numFmtId="0" fontId="9" fillId="0" borderId="5" xfId="3" applyFont="1" applyBorder="1" applyAlignment="1">
      <alignment wrapText="1"/>
    </xf>
    <xf numFmtId="0" fontId="2" fillId="12" borderId="0" xfId="3" applyFont="1" applyFill="1" applyBorder="1"/>
    <xf numFmtId="0" fontId="2" fillId="7" borderId="0" xfId="3" applyFont="1" applyFill="1" applyAlignment="1">
      <alignment horizontal="center"/>
    </xf>
    <xf numFmtId="0" fontId="9" fillId="0" borderId="12" xfId="3" applyFont="1" applyBorder="1" applyAlignment="1">
      <alignment wrapText="1"/>
    </xf>
    <xf numFmtId="0" fontId="2" fillId="0" borderId="0" xfId="3" applyFont="1" applyAlignment="1">
      <alignment horizontal="center" vertical="center"/>
    </xf>
    <xf numFmtId="0" fontId="2" fillId="0" borderId="12" xfId="3" applyFont="1" applyBorder="1" applyAlignment="1">
      <alignment horizontal="center" vertical="center" wrapText="1"/>
    </xf>
    <xf numFmtId="0" fontId="2" fillId="0" borderId="11" xfId="3" applyFont="1" applyBorder="1" applyAlignment="1">
      <alignment vertical="center" wrapText="1"/>
    </xf>
    <xf numFmtId="0" fontId="2" fillId="7" borderId="0" xfId="3" applyFont="1" applyFill="1" applyBorder="1" applyAlignment="1">
      <alignment vertical="center"/>
    </xf>
    <xf numFmtId="0" fontId="2" fillId="0" borderId="0" xfId="3" applyFont="1" applyAlignment="1">
      <alignment horizontal="center" vertical="top"/>
    </xf>
    <xf numFmtId="0" fontId="2" fillId="0" borderId="5" xfId="3" applyFont="1" applyBorder="1" applyAlignment="1">
      <alignment vertical="top" wrapText="1"/>
    </xf>
    <xf numFmtId="0" fontId="2" fillId="0" borderId="0" xfId="3" applyFont="1" applyAlignment="1">
      <alignment horizontal="center" vertical="top" wrapText="1"/>
    </xf>
    <xf numFmtId="0" fontId="2" fillId="0" borderId="14" xfId="3" applyFont="1" applyBorder="1" applyAlignment="1">
      <alignment vertical="center" wrapText="1"/>
    </xf>
    <xf numFmtId="0" fontId="2" fillId="7" borderId="12" xfId="3" applyFont="1" applyFill="1" applyBorder="1" applyAlignment="1">
      <alignment vertical="center"/>
    </xf>
    <xf numFmtId="0" fontId="2" fillId="0" borderId="0" xfId="3" applyFont="1" applyAlignment="1">
      <alignment vertical="center" textRotation="255"/>
    </xf>
    <xf numFmtId="0" fontId="2" fillId="0" borderId="5" xfId="3" applyFont="1" applyBorder="1" applyAlignment="1">
      <alignment horizontal="right"/>
    </xf>
    <xf numFmtId="0" fontId="2" fillId="0" borderId="6" xfId="3" applyFont="1" applyBorder="1"/>
    <xf numFmtId="0" fontId="2" fillId="0" borderId="5" xfId="3" applyFont="1" applyBorder="1" applyAlignment="1"/>
    <xf numFmtId="0" fontId="2" fillId="0" borderId="8" xfId="3" applyFont="1" applyBorder="1"/>
    <xf numFmtId="0" fontId="2" fillId="0" borderId="12" xfId="3" applyFont="1" applyBorder="1" applyAlignment="1">
      <alignment horizontal="center" vertical="center"/>
    </xf>
    <xf numFmtId="0" fontId="2" fillId="0" borderId="5" xfId="3" applyFont="1" applyBorder="1" applyAlignment="1">
      <alignment horizontal="center" vertical="center"/>
    </xf>
    <xf numFmtId="0" fontId="2" fillId="0" borderId="0" xfId="3" applyFont="1" applyFill="1" applyAlignment="1">
      <alignment vertical="center" textRotation="255"/>
    </xf>
    <xf numFmtId="0" fontId="2" fillId="12" borderId="12" xfId="3" applyFont="1" applyFill="1" applyBorder="1"/>
    <xf numFmtId="0" fontId="2" fillId="8" borderId="5" xfId="3" applyFont="1" applyFill="1" applyBorder="1" applyAlignment="1">
      <alignment horizontal="center" vertical="center" wrapText="1"/>
    </xf>
    <xf numFmtId="0" fontId="2" fillId="14" borderId="5" xfId="3" applyFont="1" applyFill="1" applyBorder="1" applyAlignment="1">
      <alignment wrapText="1"/>
    </xf>
    <xf numFmtId="0" fontId="2" fillId="0" borderId="14" xfId="3" applyFont="1" applyBorder="1"/>
    <xf numFmtId="0" fontId="2" fillId="0" borderId="16" xfId="3" applyFont="1" applyBorder="1"/>
    <xf numFmtId="0" fontId="2" fillId="0" borderId="0" xfId="3" applyFont="1" applyFill="1" applyAlignment="1">
      <alignment horizontal="right"/>
    </xf>
    <xf numFmtId="0" fontId="4" fillId="7" borderId="0" xfId="3" applyFont="1" applyFill="1" applyAlignment="1">
      <alignment horizontal="center" vertical="center"/>
    </xf>
    <xf numFmtId="0" fontId="2" fillId="8" borderId="2" xfId="3" applyFont="1" applyFill="1" applyBorder="1" applyAlignment="1">
      <alignment vertical="center" wrapText="1"/>
    </xf>
    <xf numFmtId="0" fontId="2" fillId="7" borderId="0" xfId="3" applyFont="1" applyFill="1" applyBorder="1" applyAlignment="1"/>
    <xf numFmtId="0" fontId="2" fillId="0" borderId="6" xfId="3" applyFont="1" applyBorder="1" applyAlignment="1">
      <alignment horizontal="center"/>
    </xf>
    <xf numFmtId="0" fontId="2" fillId="0" borderId="11" xfId="3" applyFont="1" applyBorder="1" applyAlignment="1">
      <alignment horizontal="center"/>
    </xf>
    <xf numFmtId="0" fontId="4" fillId="4" borderId="8" xfId="3" applyFont="1" applyFill="1" applyBorder="1" applyAlignment="1">
      <alignment horizontal="center"/>
    </xf>
    <xf numFmtId="0" fontId="2" fillId="0" borderId="12" xfId="3" applyFont="1" applyBorder="1" applyAlignment="1">
      <alignment horizontal="right"/>
    </xf>
    <xf numFmtId="0" fontId="2" fillId="14" borderId="0" xfId="3" applyFont="1" applyFill="1"/>
    <xf numFmtId="0" fontId="2" fillId="0" borderId="12" xfId="3" applyFont="1" applyFill="1" applyBorder="1" applyAlignment="1">
      <alignment horizontal="center" vertical="center" wrapText="1"/>
    </xf>
    <xf numFmtId="0" fontId="11" fillId="0" borderId="0" xfId="3" applyFont="1"/>
    <xf numFmtId="0" fontId="2" fillId="0" borderId="8" xfId="3" applyFont="1" applyBorder="1" applyAlignment="1">
      <alignment horizontal="center"/>
    </xf>
    <xf numFmtId="0" fontId="2" fillId="0" borderId="5" xfId="3" applyFont="1" applyBorder="1" applyAlignment="1">
      <alignment wrapText="1"/>
    </xf>
    <xf numFmtId="0" fontId="2" fillId="15" borderId="0" xfId="3" applyFont="1" applyFill="1" applyBorder="1" applyAlignment="1">
      <alignment horizontal="center" wrapText="1"/>
    </xf>
    <xf numFmtId="0" fontId="2" fillId="10" borderId="0" xfId="3" applyFont="1" applyFill="1"/>
    <xf numFmtId="0" fontId="2" fillId="0" borderId="12" xfId="3" applyFont="1" applyBorder="1" applyAlignment="1">
      <alignment wrapText="1"/>
    </xf>
    <xf numFmtId="0" fontId="2" fillId="10" borderId="0" xfId="3" applyFont="1" applyFill="1" applyAlignment="1">
      <alignment horizontal="center"/>
    </xf>
    <xf numFmtId="0" fontId="2" fillId="11" borderId="5" xfId="3" applyFont="1" applyFill="1" applyBorder="1" applyAlignment="1">
      <alignment vertical="center"/>
    </xf>
    <xf numFmtId="0" fontId="3" fillId="0" borderId="1" xfId="3" applyFont="1" applyBorder="1" applyAlignment="1">
      <alignment horizontal="center"/>
    </xf>
    <xf numFmtId="164" fontId="2" fillId="0" borderId="0" xfId="1" applyNumberFormat="1" applyFont="1" applyFill="1" applyBorder="1" applyAlignment="1" applyProtection="1"/>
    <xf numFmtId="164" fontId="2" fillId="0" borderId="0" xfId="3" applyNumberFormat="1" applyFont="1"/>
    <xf numFmtId="164" fontId="4" fillId="0" borderId="0" xfId="3" applyNumberFormat="1" applyFont="1"/>
    <xf numFmtId="0" fontId="2" fillId="0" borderId="17" xfId="3" applyFont="1" applyBorder="1"/>
    <xf numFmtId="0" fontId="2" fillId="0" borderId="18" xfId="3" applyFont="1" applyBorder="1"/>
    <xf numFmtId="0" fontId="2" fillId="0" borderId="18" xfId="3" applyFont="1" applyBorder="1" applyAlignment="1">
      <alignment horizontal="right"/>
    </xf>
    <xf numFmtId="0" fontId="2" fillId="0" borderId="19" xfId="3" applyFont="1" applyBorder="1" applyAlignment="1">
      <alignment horizontal="right"/>
    </xf>
    <xf numFmtId="0" fontId="2" fillId="0" borderId="20" xfId="3" applyFont="1" applyBorder="1"/>
    <xf numFmtId="9" fontId="2" fillId="0" borderId="21" xfId="2" applyFont="1" applyFill="1" applyBorder="1" applyAlignment="1" applyProtection="1"/>
    <xf numFmtId="0" fontId="2" fillId="10" borderId="0" xfId="3" applyFont="1" applyFill="1" applyBorder="1" applyAlignment="1"/>
    <xf numFmtId="0" fontId="2" fillId="11" borderId="0" xfId="3" applyFont="1" applyFill="1" applyBorder="1" applyAlignment="1">
      <alignment vertical="center"/>
    </xf>
    <xf numFmtId="0" fontId="2" fillId="7" borderId="0" xfId="3" applyFont="1" applyFill="1" applyBorder="1"/>
    <xf numFmtId="0" fontId="4" fillId="4" borderId="0" xfId="3" applyFont="1" applyFill="1" applyBorder="1" applyAlignment="1">
      <alignment vertical="center"/>
    </xf>
    <xf numFmtId="0" fontId="2" fillId="0" borderId="22" xfId="3" applyFont="1" applyBorder="1"/>
    <xf numFmtId="0" fontId="2" fillId="0" borderId="23" xfId="3" applyFont="1" applyBorder="1"/>
    <xf numFmtId="0" fontId="2" fillId="0" borderId="24" xfId="3" applyFont="1" applyBorder="1"/>
    <xf numFmtId="0" fontId="2" fillId="13" borderId="0" xfId="3" applyFont="1" applyFill="1" applyBorder="1" applyAlignment="1">
      <alignment vertical="center" wrapText="1"/>
    </xf>
    <xf numFmtId="0" fontId="2" fillId="5" borderId="0" xfId="3" applyFont="1" applyFill="1" applyBorder="1"/>
    <xf numFmtId="0" fontId="2" fillId="15" borderId="0" xfId="3" applyFont="1" applyFill="1" applyBorder="1" applyAlignment="1">
      <alignment wrapText="1"/>
    </xf>
    <xf numFmtId="0" fontId="2" fillId="8" borderId="0" xfId="3" applyFont="1" applyFill="1" applyBorder="1" applyAlignment="1"/>
    <xf numFmtId="0" fontId="2" fillId="9" borderId="0" xfId="3" applyFont="1" applyFill="1" applyBorder="1" applyAlignment="1">
      <alignment horizontal="center"/>
    </xf>
    <xf numFmtId="0" fontId="12" fillId="0" borderId="0" xfId="0" applyFont="1"/>
    <xf numFmtId="0" fontId="0" fillId="0" borderId="0" xfId="0" applyFont="1" applyAlignment="1">
      <alignment wrapText="1"/>
    </xf>
    <xf numFmtId="0" fontId="13" fillId="0" borderId="0" xfId="3" applyFont="1"/>
    <xf numFmtId="0" fontId="14" fillId="0" borderId="0" xfId="3" applyFont="1"/>
    <xf numFmtId="0" fontId="13" fillId="0" borderId="0" xfId="3" applyFont="1" applyAlignment="1">
      <alignment horizontal="center" wrapText="1"/>
    </xf>
    <xf numFmtId="0" fontId="13" fillId="0" borderId="0" xfId="3" applyFont="1" applyFill="1"/>
    <xf numFmtId="0" fontId="13" fillId="2" borderId="0" xfId="3" applyFont="1" applyFill="1"/>
    <xf numFmtId="0" fontId="13" fillId="2" borderId="0" xfId="3" applyFont="1" applyFill="1" applyBorder="1" applyAlignment="1">
      <alignment horizontal="center" wrapText="1"/>
    </xf>
    <xf numFmtId="0" fontId="13" fillId="2" borderId="0" xfId="3" applyFont="1" applyFill="1" applyAlignment="1">
      <alignment horizontal="right"/>
    </xf>
    <xf numFmtId="0" fontId="13" fillId="0" borderId="0" xfId="3" applyFont="1" applyFill="1" applyAlignment="1">
      <alignment horizontal="left"/>
    </xf>
    <xf numFmtId="164" fontId="13" fillId="0" borderId="0" xfId="3" applyNumberFormat="1" applyFont="1"/>
    <xf numFmtId="0" fontId="13" fillId="3" borderId="0" xfId="3" applyFont="1" applyFill="1" applyAlignment="1">
      <alignment horizontal="center" vertical="center" wrapText="1"/>
    </xf>
    <xf numFmtId="0" fontId="13" fillId="0" borderId="0" xfId="3" applyFont="1" applyAlignment="1">
      <alignment horizontal="center"/>
    </xf>
    <xf numFmtId="0" fontId="13" fillId="2" borderId="0" xfId="3" applyFont="1" applyFill="1" applyAlignment="1">
      <alignment horizontal="center"/>
    </xf>
    <xf numFmtId="0" fontId="13" fillId="0" borderId="0" xfId="3" applyFont="1" applyBorder="1" applyAlignment="1">
      <alignment horizontal="center" vertical="center" wrapText="1"/>
    </xf>
    <xf numFmtId="0" fontId="13" fillId="0" borderId="3" xfId="3" applyFont="1" applyBorder="1" applyAlignment="1">
      <alignment horizontal="center"/>
    </xf>
    <xf numFmtId="0" fontId="14" fillId="4" borderId="5" xfId="3" applyFont="1" applyFill="1" applyBorder="1" applyAlignment="1">
      <alignment vertical="center"/>
    </xf>
    <xf numFmtId="0" fontId="13" fillId="0" borderId="6" xfId="3" applyFont="1" applyBorder="1" applyAlignment="1">
      <alignment horizontal="center" vertical="top" wrapText="1"/>
    </xf>
    <xf numFmtId="0" fontId="13" fillId="0" borderId="0" xfId="3" applyFont="1" applyAlignment="1">
      <alignment vertical="top"/>
    </xf>
    <xf numFmtId="0" fontId="13" fillId="0" borderId="0" xfId="3" applyFont="1" applyAlignment="1">
      <alignment horizontal="right" vertical="top"/>
    </xf>
    <xf numFmtId="0" fontId="13" fillId="5" borderId="0" xfId="3" applyFont="1" applyFill="1" applyAlignment="1">
      <alignment horizontal="right" vertical="top"/>
    </xf>
    <xf numFmtId="0" fontId="13" fillId="0" borderId="7" xfId="3" applyFont="1" applyBorder="1"/>
    <xf numFmtId="0" fontId="13" fillId="5" borderId="8" xfId="3" applyFont="1" applyFill="1" applyBorder="1" applyAlignment="1">
      <alignment horizontal="center"/>
    </xf>
    <xf numFmtId="0" fontId="13" fillId="0" borderId="0" xfId="3" applyFont="1" applyAlignment="1">
      <alignment horizontal="left"/>
    </xf>
    <xf numFmtId="0" fontId="13" fillId="0" borderId="4" xfId="3" applyFont="1" applyBorder="1"/>
    <xf numFmtId="0" fontId="13" fillId="0" borderId="5" xfId="3" applyFont="1" applyBorder="1"/>
    <xf numFmtId="0" fontId="15" fillId="0" borderId="9" xfId="3" applyFont="1" applyBorder="1" applyAlignment="1">
      <alignment horizontal="right"/>
    </xf>
    <xf numFmtId="0" fontId="13" fillId="0" borderId="7" xfId="3" applyFont="1" applyBorder="1" applyAlignment="1">
      <alignment horizontal="center"/>
    </xf>
    <xf numFmtId="0" fontId="13" fillId="0" borderId="10" xfId="3" applyFont="1" applyBorder="1"/>
    <xf numFmtId="0" fontId="13" fillId="0" borderId="0" xfId="3" applyFont="1" applyBorder="1" applyAlignment="1">
      <alignment horizontal="right"/>
    </xf>
    <xf numFmtId="0" fontId="13" fillId="6" borderId="0" xfId="3" applyFont="1" applyFill="1"/>
    <xf numFmtId="0" fontId="13" fillId="5" borderId="0" xfId="3" applyFont="1" applyFill="1" applyAlignment="1">
      <alignment horizontal="center"/>
    </xf>
    <xf numFmtId="0" fontId="13" fillId="0" borderId="0" xfId="3" applyFont="1" applyBorder="1"/>
    <xf numFmtId="0" fontId="13" fillId="6" borderId="0" xfId="3" applyFont="1" applyFill="1" applyAlignment="1">
      <alignment horizontal="left" vertical="top"/>
    </xf>
    <xf numFmtId="0" fontId="13" fillId="0" borderId="12" xfId="3" applyFont="1" applyBorder="1" applyAlignment="1"/>
    <xf numFmtId="0" fontId="13" fillId="0" borderId="0" xfId="3" applyFont="1" applyAlignment="1">
      <alignment horizontal="right"/>
    </xf>
    <xf numFmtId="0" fontId="13" fillId="0" borderId="2" xfId="3" applyFont="1" applyBorder="1" applyAlignment="1"/>
    <xf numFmtId="0" fontId="13" fillId="0" borderId="0" xfId="3" applyFont="1" applyBorder="1" applyAlignment="1"/>
    <xf numFmtId="0" fontId="13" fillId="0" borderId="7" xfId="3" applyFont="1" applyBorder="1" applyAlignment="1"/>
    <xf numFmtId="0" fontId="13" fillId="0" borderId="0" xfId="3" applyFont="1" applyBorder="1" applyAlignment="1">
      <alignment horizontal="center"/>
    </xf>
    <xf numFmtId="0" fontId="16" fillId="0" borderId="9" xfId="3" applyFont="1" applyBorder="1" applyAlignment="1">
      <alignment horizontal="right"/>
    </xf>
    <xf numFmtId="164" fontId="13" fillId="0" borderId="0" xfId="1" applyNumberFormat="1" applyFont="1" applyFill="1" applyBorder="1" applyAlignment="1" applyProtection="1">
      <alignment horizontal="center" wrapText="1"/>
    </xf>
    <xf numFmtId="0" fontId="13" fillId="0" borderId="0" xfId="3" applyFont="1" applyAlignment="1">
      <alignment horizontal="center" vertical="top" wrapText="1"/>
    </xf>
    <xf numFmtId="0" fontId="13" fillId="0" borderId="0" xfId="3" applyFont="1" applyAlignment="1">
      <alignment horizontal="right" vertical="top" wrapText="1"/>
    </xf>
    <xf numFmtId="0" fontId="13" fillId="5" borderId="0" xfId="3" applyFont="1" applyFill="1"/>
    <xf numFmtId="0" fontId="13" fillId="5" borderId="0" xfId="3" applyFont="1" applyFill="1" applyAlignment="1">
      <alignment horizontal="right"/>
    </xf>
    <xf numFmtId="164" fontId="13" fillId="0" borderId="0" xfId="1" applyNumberFormat="1" applyFont="1" applyFill="1" applyBorder="1" applyAlignment="1" applyProtection="1"/>
    <xf numFmtId="0" fontId="13" fillId="0" borderId="11" xfId="3" applyFont="1" applyBorder="1"/>
    <xf numFmtId="0" fontId="13" fillId="0" borderId="0" xfId="3" applyFont="1" applyBorder="1" applyAlignment="1">
      <alignment vertical="center" wrapText="1"/>
    </xf>
    <xf numFmtId="0" fontId="13" fillId="7" borderId="0" xfId="3" applyFont="1" applyFill="1"/>
    <xf numFmtId="0" fontId="13" fillId="0" borderId="12" xfId="3" applyFont="1" applyBorder="1" applyAlignment="1">
      <alignment horizontal="right" vertical="center"/>
    </xf>
    <xf numFmtId="0" fontId="13" fillId="0" borderId="11" xfId="3" applyFont="1" applyBorder="1" applyAlignment="1"/>
    <xf numFmtId="0" fontId="13" fillId="0" borderId="0" xfId="3" applyFont="1" applyAlignment="1">
      <alignment horizontal="center" vertical="center" textRotation="255"/>
    </xf>
    <xf numFmtId="0" fontId="13" fillId="0" borderId="0" xfId="3" applyFont="1" applyAlignment="1">
      <alignment horizontal="center" vertical="center" wrapText="1"/>
    </xf>
    <xf numFmtId="0" fontId="13" fillId="0" borderId="5" xfId="3" applyFont="1" applyBorder="1" applyAlignment="1">
      <alignment vertical="center" wrapText="1"/>
    </xf>
    <xf numFmtId="0" fontId="13" fillId="8" borderId="0" xfId="3" applyFont="1" applyFill="1" applyBorder="1" applyAlignment="1">
      <alignment horizontal="center"/>
    </xf>
    <xf numFmtId="0" fontId="13" fillId="0" borderId="13" xfId="3" applyFont="1" applyBorder="1" applyAlignment="1">
      <alignment horizontal="center"/>
    </xf>
    <xf numFmtId="0" fontId="13" fillId="0" borderId="14" xfId="3" applyFont="1" applyBorder="1" applyAlignment="1">
      <alignment horizontal="right"/>
    </xf>
    <xf numFmtId="0" fontId="13" fillId="0" borderId="12" xfId="3" applyFont="1" applyBorder="1"/>
    <xf numFmtId="0" fontId="13" fillId="9" borderId="0" xfId="3" applyFont="1" applyFill="1" applyAlignment="1">
      <alignment horizontal="center"/>
    </xf>
    <xf numFmtId="0" fontId="13" fillId="0" borderId="12" xfId="3" applyFont="1" applyBorder="1" applyAlignment="1">
      <alignment vertical="center" wrapText="1"/>
    </xf>
    <xf numFmtId="0" fontId="13" fillId="10" borderId="0" xfId="3" applyFont="1" applyFill="1" applyAlignment="1">
      <alignment vertical="center" textRotation="255"/>
    </xf>
    <xf numFmtId="0" fontId="13" fillId="0" borderId="5" xfId="3" applyFont="1" applyBorder="1" applyAlignment="1">
      <alignment horizontal="center" vertical="center" wrapText="1"/>
    </xf>
    <xf numFmtId="0" fontId="13" fillId="12" borderId="0" xfId="3" applyFont="1" applyFill="1"/>
    <xf numFmtId="0" fontId="13" fillId="12" borderId="5" xfId="3" applyFont="1" applyFill="1" applyBorder="1"/>
    <xf numFmtId="0" fontId="13" fillId="8" borderId="0" xfId="3" applyFont="1" applyFill="1" applyAlignment="1">
      <alignment horizontal="center"/>
    </xf>
    <xf numFmtId="0" fontId="17" fillId="0" borderId="5" xfId="3" applyFont="1" applyBorder="1" applyAlignment="1">
      <alignment wrapText="1"/>
    </xf>
    <xf numFmtId="0" fontId="13" fillId="12" borderId="0" xfId="3" applyFont="1" applyFill="1" applyBorder="1"/>
    <xf numFmtId="0" fontId="13" fillId="7" borderId="0" xfId="3" applyFont="1" applyFill="1" applyAlignment="1">
      <alignment horizontal="center"/>
    </xf>
    <xf numFmtId="0" fontId="17" fillId="0" borderId="12" xfId="3" applyFont="1" applyBorder="1" applyAlignment="1">
      <alignment wrapText="1"/>
    </xf>
    <xf numFmtId="0" fontId="13" fillId="0" borderId="0" xfId="3" applyFont="1" applyAlignment="1">
      <alignment horizontal="center" vertical="center"/>
    </xf>
    <xf numFmtId="0" fontId="13" fillId="12" borderId="0" xfId="3" applyFont="1" applyFill="1" applyBorder="1" applyAlignment="1"/>
    <xf numFmtId="0" fontId="13" fillId="0" borderId="11" xfId="3" applyFont="1" applyBorder="1" applyAlignment="1">
      <alignment vertical="center" wrapText="1"/>
    </xf>
    <xf numFmtId="0" fontId="13" fillId="7" borderId="0" xfId="3" applyFont="1" applyFill="1" applyBorder="1" applyAlignment="1">
      <alignment vertical="center"/>
    </xf>
    <xf numFmtId="0" fontId="13" fillId="0" borderId="0" xfId="3" applyFont="1" applyAlignment="1">
      <alignment horizontal="center" vertical="top"/>
    </xf>
    <xf numFmtId="0" fontId="13" fillId="0" borderId="5" xfId="3" applyFont="1" applyBorder="1" applyAlignment="1">
      <alignment vertical="top" wrapText="1"/>
    </xf>
    <xf numFmtId="0" fontId="13" fillId="0" borderId="14" xfId="3" applyFont="1" applyBorder="1" applyAlignment="1">
      <alignment vertical="center" wrapText="1"/>
    </xf>
    <xf numFmtId="0" fontId="13" fillId="7" borderId="12" xfId="3" applyFont="1" applyFill="1" applyBorder="1" applyAlignment="1">
      <alignment vertical="center"/>
    </xf>
    <xf numFmtId="0" fontId="13" fillId="0" borderId="0" xfId="3" applyFont="1" applyAlignment="1">
      <alignment vertical="center" textRotation="255"/>
    </xf>
    <xf numFmtId="0" fontId="13" fillId="0" borderId="5" xfId="3" applyFont="1" applyBorder="1" applyAlignment="1">
      <alignment horizontal="right"/>
    </xf>
    <xf numFmtId="0" fontId="13" fillId="0" borderId="6" xfId="3" applyFont="1" applyBorder="1"/>
    <xf numFmtId="0" fontId="13" fillId="0" borderId="5" xfId="3" applyFont="1" applyBorder="1" applyAlignment="1"/>
    <xf numFmtId="0" fontId="13" fillId="0" borderId="8" xfId="3" applyFont="1" applyBorder="1"/>
    <xf numFmtId="0" fontId="13" fillId="0" borderId="12" xfId="3" applyFont="1" applyBorder="1" applyAlignment="1">
      <alignment horizontal="center" vertical="center"/>
    </xf>
    <xf numFmtId="0" fontId="13" fillId="0" borderId="5" xfId="3" applyFont="1" applyBorder="1" applyAlignment="1">
      <alignment horizontal="center" vertical="center"/>
    </xf>
    <xf numFmtId="0" fontId="13" fillId="0" borderId="0" xfId="3" applyFont="1" applyFill="1" applyAlignment="1">
      <alignment vertical="center" textRotation="255"/>
    </xf>
    <xf numFmtId="0" fontId="13" fillId="12" borderId="12" xfId="3" applyFont="1" applyFill="1" applyBorder="1"/>
    <xf numFmtId="0" fontId="13" fillId="8" borderId="5" xfId="3" applyFont="1" applyFill="1" applyBorder="1" applyAlignment="1">
      <alignment horizontal="center" vertical="center" wrapText="1"/>
    </xf>
    <xf numFmtId="0" fontId="13" fillId="14" borderId="5" xfId="3" applyFont="1" applyFill="1" applyBorder="1" applyAlignment="1">
      <alignment wrapText="1"/>
    </xf>
    <xf numFmtId="0" fontId="13" fillId="0" borderId="14" xfId="3" applyFont="1" applyBorder="1"/>
    <xf numFmtId="0" fontId="13" fillId="0" borderId="16" xfId="3" applyFont="1" applyBorder="1"/>
    <xf numFmtId="0" fontId="13" fillId="0" borderId="0" xfId="3" applyFont="1" applyFill="1" applyAlignment="1">
      <alignment horizontal="right"/>
    </xf>
    <xf numFmtId="0" fontId="14" fillId="7" borderId="0" xfId="3" applyFont="1" applyFill="1" applyAlignment="1">
      <alignment horizontal="center" vertical="center"/>
    </xf>
    <xf numFmtId="0" fontId="13" fillId="8" borderId="2" xfId="3" applyFont="1" applyFill="1" applyBorder="1" applyAlignment="1">
      <alignment vertical="center" wrapText="1"/>
    </xf>
    <xf numFmtId="0" fontId="13" fillId="7" borderId="0" xfId="3" applyFont="1" applyFill="1" applyBorder="1" applyAlignment="1"/>
    <xf numFmtId="0" fontId="13" fillId="0" borderId="6" xfId="3" applyFont="1" applyBorder="1" applyAlignment="1">
      <alignment horizontal="center"/>
    </xf>
    <xf numFmtId="0" fontId="13" fillId="0" borderId="11" xfId="3" applyFont="1" applyBorder="1" applyAlignment="1">
      <alignment horizontal="center"/>
    </xf>
    <xf numFmtId="0" fontId="14" fillId="4" borderId="8" xfId="3" applyFont="1" applyFill="1" applyBorder="1" applyAlignment="1">
      <alignment horizontal="center"/>
    </xf>
    <xf numFmtId="0" fontId="13" fillId="0" borderId="12" xfId="3" applyFont="1" applyBorder="1" applyAlignment="1">
      <alignment horizontal="right"/>
    </xf>
    <xf numFmtId="0" fontId="13" fillId="14" borderId="0" xfId="3" applyFont="1" applyFill="1"/>
    <xf numFmtId="0" fontId="13" fillId="0" borderId="12" xfId="3" applyFont="1" applyFill="1" applyBorder="1" applyAlignment="1">
      <alignment horizontal="center" vertical="center" wrapText="1"/>
    </xf>
    <xf numFmtId="0" fontId="19" fillId="0" borderId="0" xfId="3" applyFont="1"/>
    <xf numFmtId="0" fontId="13" fillId="0" borderId="8" xfId="3" applyFont="1" applyBorder="1" applyAlignment="1">
      <alignment horizontal="center"/>
    </xf>
    <xf numFmtId="0" fontId="13" fillId="0" borderId="5" xfId="3" applyFont="1" applyBorder="1" applyAlignment="1">
      <alignment wrapText="1"/>
    </xf>
    <xf numFmtId="0" fontId="13" fillId="15" borderId="0" xfId="3" applyFont="1" applyFill="1" applyBorder="1" applyAlignment="1">
      <alignment horizontal="center" wrapText="1"/>
    </xf>
    <xf numFmtId="0" fontId="13" fillId="10" borderId="0" xfId="3" applyFont="1" applyFill="1"/>
    <xf numFmtId="0" fontId="13" fillId="0" borderId="12" xfId="3" applyFont="1" applyBorder="1" applyAlignment="1">
      <alignment wrapText="1"/>
    </xf>
    <xf numFmtId="0" fontId="13" fillId="10" borderId="0" xfId="3" applyFont="1" applyFill="1" applyAlignment="1">
      <alignment horizontal="center"/>
    </xf>
    <xf numFmtId="0" fontId="13" fillId="11" borderId="5" xfId="3" applyFont="1" applyFill="1" applyBorder="1" applyAlignment="1">
      <alignment vertical="center"/>
    </xf>
    <xf numFmtId="0" fontId="13" fillId="0" borderId="25" xfId="3" applyFont="1" applyBorder="1"/>
    <xf numFmtId="0" fontId="13" fillId="0" borderId="26" xfId="3" applyFont="1" applyBorder="1"/>
    <xf numFmtId="0" fontId="13" fillId="0" borderId="27" xfId="3" applyFont="1" applyBorder="1"/>
    <xf numFmtId="0" fontId="13" fillId="0" borderId="28" xfId="3" applyFont="1" applyBorder="1"/>
    <xf numFmtId="0" fontId="13" fillId="0" borderId="29" xfId="3" applyFont="1" applyBorder="1"/>
    <xf numFmtId="164" fontId="13" fillId="0" borderId="0" xfId="3" applyNumberFormat="1" applyFont="1" applyBorder="1"/>
    <xf numFmtId="164" fontId="13" fillId="0" borderId="29" xfId="3" applyNumberFormat="1" applyFont="1" applyBorder="1"/>
    <xf numFmtId="164" fontId="14" fillId="0" borderId="0" xfId="3" applyNumberFormat="1" applyFont="1" applyBorder="1"/>
    <xf numFmtId="164" fontId="14" fillId="0" borderId="29" xfId="3" applyNumberFormat="1" applyFont="1" applyBorder="1"/>
    <xf numFmtId="9" fontId="14" fillId="0" borderId="29" xfId="2" applyFont="1" applyFill="1" applyBorder="1" applyAlignment="1" applyProtection="1"/>
    <xf numFmtId="9" fontId="13" fillId="0" borderId="0" xfId="2" applyFont="1" applyFill="1" applyBorder="1" applyAlignment="1" applyProtection="1"/>
    <xf numFmtId="0" fontId="14" fillId="0" borderId="28" xfId="3" applyFont="1" applyBorder="1"/>
    <xf numFmtId="0" fontId="14" fillId="0" borderId="0" xfId="3" applyFont="1" applyBorder="1"/>
    <xf numFmtId="0" fontId="14" fillId="0" borderId="30" xfId="3" applyFont="1" applyBorder="1"/>
    <xf numFmtId="0" fontId="14" fillId="0" borderId="31" xfId="3" applyFont="1" applyBorder="1"/>
    <xf numFmtId="9" fontId="14" fillId="0" borderId="32" xfId="2" applyFont="1" applyFill="1" applyBorder="1" applyAlignment="1" applyProtection="1"/>
    <xf numFmtId="0" fontId="2" fillId="0" borderId="3" xfId="3" applyFont="1" applyBorder="1"/>
    <xf numFmtId="0" fontId="2" fillId="0" borderId="12" xfId="3" applyFont="1" applyBorder="1" applyAlignment="1">
      <alignment horizontal="center"/>
    </xf>
    <xf numFmtId="0" fontId="2" fillId="0" borderId="12" xfId="3" applyFont="1" applyBorder="1" applyAlignment="1">
      <alignment vertical="center"/>
    </xf>
    <xf numFmtId="0" fontId="2" fillId="0" borderId="13" xfId="3" applyFont="1" applyBorder="1"/>
    <xf numFmtId="0" fontId="2" fillId="0" borderId="5" xfId="3" applyFont="1" applyBorder="1" applyAlignment="1">
      <alignment horizontal="center" vertical="top" wrapText="1"/>
    </xf>
    <xf numFmtId="0" fontId="4" fillId="10" borderId="0" xfId="3" applyFont="1" applyFill="1"/>
    <xf numFmtId="0" fontId="2" fillId="0" borderId="0" xfId="3" applyFont="1" applyFill="1" applyAlignment="1">
      <alignment vertical="center" wrapText="1"/>
    </xf>
    <xf numFmtId="0" fontId="2" fillId="0" borderId="0" xfId="3" applyFont="1" applyFill="1" applyAlignment="1">
      <alignment horizontal="center" vertical="center" wrapText="1"/>
    </xf>
    <xf numFmtId="0" fontId="2" fillId="0" borderId="0" xfId="3" applyFont="1" applyFill="1" applyAlignment="1">
      <alignment horizontal="center" wrapText="1"/>
    </xf>
    <xf numFmtId="0" fontId="4" fillId="4" borderId="0" xfId="3" applyFont="1" applyFill="1" applyAlignment="1">
      <alignment horizontal="center" vertical="center"/>
    </xf>
    <xf numFmtId="0" fontId="2" fillId="0" borderId="0" xfId="3" applyFont="1" applyAlignment="1">
      <alignment horizontal="right" vertical="top" wrapText="1"/>
    </xf>
    <xf numFmtId="0" fontId="2" fillId="0" borderId="0" xfId="3" applyFont="1" applyAlignment="1">
      <alignment vertical="top" wrapText="1"/>
    </xf>
    <xf numFmtId="0" fontId="2" fillId="5" borderId="0" xfId="3" applyFont="1" applyFill="1" applyAlignment="1">
      <alignment horizontal="right" vertical="top" wrapText="1"/>
    </xf>
    <xf numFmtId="0" fontId="2" fillId="0" borderId="0" xfId="3" applyFont="1" applyAlignment="1">
      <alignment horizontal="right" wrapText="1"/>
    </xf>
    <xf numFmtId="0" fontId="2" fillId="0" borderId="0" xfId="3" applyFont="1" applyAlignment="1">
      <alignment wrapText="1"/>
    </xf>
    <xf numFmtId="0" fontId="2" fillId="6" borderId="0" xfId="3" applyFont="1" applyFill="1" applyAlignment="1">
      <alignment horizontal="center"/>
    </xf>
    <xf numFmtId="0" fontId="2" fillId="5" borderId="0" xfId="3" applyFont="1" applyFill="1" applyAlignment="1">
      <alignment horizontal="center" vertical="top"/>
    </xf>
    <xf numFmtId="0" fontId="2" fillId="0" borderId="12" xfId="3" applyFont="1" applyBorder="1" applyAlignment="1">
      <alignment horizontal="center" wrapText="1"/>
    </xf>
    <xf numFmtId="0" fontId="2" fillId="0" borderId="5" xfId="3" applyFont="1" applyBorder="1" applyAlignment="1">
      <alignment horizontal="right" vertical="center"/>
    </xf>
    <xf numFmtId="0" fontId="2" fillId="0" borderId="0" xfId="3" applyFont="1" applyAlignment="1">
      <alignment horizontal="left" vertical="top" wrapText="1"/>
    </xf>
    <xf numFmtId="0" fontId="2" fillId="0" borderId="0" xfId="3" applyFont="1" applyFill="1" applyAlignment="1">
      <alignment horizontal="center" vertical="top" wrapText="1"/>
    </xf>
    <xf numFmtId="0" fontId="2" fillId="5" borderId="0" xfId="3" applyFont="1" applyFill="1" applyAlignment="1">
      <alignment vertical="top" wrapText="1"/>
    </xf>
    <xf numFmtId="0" fontId="2" fillId="5" borderId="0" xfId="3" applyFont="1" applyFill="1" applyAlignment="1">
      <alignment horizontal="right" wrapText="1"/>
    </xf>
    <xf numFmtId="0" fontId="2" fillId="0" borderId="5" xfId="3" applyFont="1" applyBorder="1" applyAlignment="1">
      <alignment horizontal="right" vertical="center" wrapText="1"/>
    </xf>
    <xf numFmtId="0" fontId="2" fillId="17" borderId="0" xfId="3" applyFont="1" applyFill="1" applyBorder="1" applyAlignment="1">
      <alignment horizontal="center"/>
    </xf>
    <xf numFmtId="0" fontId="2" fillId="18" borderId="0" xfId="3" applyFont="1" applyFill="1" applyBorder="1" applyAlignment="1">
      <alignment horizontal="center"/>
    </xf>
    <xf numFmtId="0" fontId="2" fillId="12" borderId="0" xfId="3" applyFont="1" applyFill="1" applyBorder="1" applyAlignment="1"/>
    <xf numFmtId="0" fontId="2" fillId="0" borderId="5" xfId="3" applyFont="1" applyBorder="1" applyAlignment="1">
      <alignment horizontal="center"/>
    </xf>
    <xf numFmtId="0" fontId="2" fillId="3" borderId="0" xfId="3" applyFont="1" applyFill="1" applyAlignment="1">
      <alignment vertical="top" wrapText="1"/>
    </xf>
    <xf numFmtId="0" fontId="2" fillId="16" borderId="0" xfId="3" applyFont="1" applyFill="1" applyAlignment="1">
      <alignment horizontal="left"/>
    </xf>
    <xf numFmtId="0" fontId="2" fillId="0" borderId="8" xfId="3" applyFont="1" applyBorder="1" applyAlignment="1"/>
    <xf numFmtId="0" fontId="2" fillId="5" borderId="0" xfId="3" applyFont="1" applyFill="1" applyAlignment="1">
      <alignment horizontal="center" vertical="top" wrapText="1"/>
    </xf>
    <xf numFmtId="0" fontId="4" fillId="19" borderId="12" xfId="3" applyFont="1" applyFill="1" applyBorder="1" applyAlignment="1">
      <alignment horizontal="right" vertical="center"/>
    </xf>
    <xf numFmtId="0" fontId="2" fillId="0" borderId="16" xfId="3" applyFont="1" applyBorder="1" applyAlignment="1">
      <alignment horizontal="center"/>
    </xf>
    <xf numFmtId="0" fontId="2" fillId="0" borderId="12" xfId="3" applyFont="1" applyBorder="1" applyAlignment="1">
      <alignment horizontal="right" vertical="center" wrapText="1"/>
    </xf>
    <xf numFmtId="0" fontId="2" fillId="18" borderId="0" xfId="3" applyFont="1" applyFill="1" applyBorder="1" applyAlignment="1">
      <alignment horizontal="center" wrapText="1"/>
    </xf>
    <xf numFmtId="0" fontId="2" fillId="12" borderId="0" xfId="3" applyFont="1" applyFill="1" applyBorder="1" applyAlignment="1">
      <alignment horizontal="right"/>
    </xf>
    <xf numFmtId="0" fontId="2" fillId="0" borderId="5" xfId="3" applyFont="1" applyBorder="1" applyAlignment="1">
      <alignment horizontal="center" wrapText="1"/>
    </xf>
    <xf numFmtId="0" fontId="21" fillId="4" borderId="8" xfId="3" applyFont="1" applyFill="1" applyBorder="1" applyAlignment="1">
      <alignment horizontal="center" vertical="center"/>
    </xf>
    <xf numFmtId="0" fontId="2" fillId="0" borderId="12" xfId="3" applyFont="1" applyBorder="1" applyAlignment="1">
      <alignment horizontal="left"/>
    </xf>
    <xf numFmtId="0" fontId="2" fillId="20" borderId="5" xfId="3" applyFont="1" applyFill="1" applyBorder="1" applyAlignment="1">
      <alignment horizontal="center" vertical="center" wrapText="1"/>
    </xf>
    <xf numFmtId="0" fontId="2" fillId="9" borderId="0" xfId="3" applyFont="1" applyFill="1"/>
    <xf numFmtId="0" fontId="2" fillId="0" borderId="0" xfId="3" applyFont="1" applyBorder="1" applyAlignment="1">
      <alignment horizontal="center" wrapText="1"/>
    </xf>
    <xf numFmtId="0" fontId="2" fillId="0" borderId="2" xfId="3" applyFont="1" applyBorder="1" applyAlignment="1">
      <alignment horizontal="center"/>
    </xf>
    <xf numFmtId="0" fontId="2" fillId="0" borderId="0" xfId="3" applyFont="1" applyBorder="1" applyAlignment="1">
      <alignment horizontal="center" vertical="center" textRotation="255" wrapText="1"/>
    </xf>
    <xf numFmtId="0" fontId="2" fillId="2" borderId="2" xfId="3" applyFont="1" applyFill="1" applyBorder="1" applyAlignment="1">
      <alignment horizontal="center" wrapText="1"/>
    </xf>
    <xf numFmtId="0" fontId="2" fillId="2" borderId="2" xfId="3" applyFont="1" applyFill="1" applyBorder="1" applyAlignment="1">
      <alignment horizontal="center" vertical="center" wrapText="1"/>
    </xf>
    <xf numFmtId="0" fontId="2" fillId="0" borderId="0" xfId="3" applyFont="1" applyFill="1" applyBorder="1" applyAlignment="1">
      <alignment horizontal="center" vertical="center" textRotation="255"/>
    </xf>
    <xf numFmtId="0" fontId="2" fillId="0" borderId="2" xfId="3" applyFont="1" applyBorder="1" applyAlignment="1">
      <alignment horizontal="center" vertical="center"/>
    </xf>
    <xf numFmtId="0" fontId="2" fillId="0" borderId="2" xfId="3" applyFont="1" applyBorder="1" applyAlignment="1">
      <alignment horizontal="center" vertical="center" wrapText="1"/>
    </xf>
    <xf numFmtId="0" fontId="2" fillId="0" borderId="0" xfId="3" applyFont="1" applyBorder="1" applyAlignment="1">
      <alignment horizontal="center" vertical="center" textRotation="255"/>
    </xf>
    <xf numFmtId="0" fontId="2" fillId="0" borderId="4" xfId="3" applyFont="1" applyBorder="1" applyAlignment="1">
      <alignment horizontal="center" vertical="center" wrapText="1"/>
    </xf>
    <xf numFmtId="0" fontId="2" fillId="5" borderId="9" xfId="3" applyFont="1" applyFill="1" applyBorder="1" applyAlignment="1">
      <alignment horizontal="center" vertical="center" wrapText="1"/>
    </xf>
    <xf numFmtId="0" fontId="2" fillId="0" borderId="11" xfId="3" applyFont="1" applyBorder="1" applyAlignment="1">
      <alignment horizontal="center" wrapText="1"/>
    </xf>
    <xf numFmtId="0" fontId="2" fillId="0" borderId="9" xfId="3" applyFont="1" applyBorder="1" applyAlignment="1">
      <alignment horizontal="center" wrapText="1"/>
    </xf>
    <xf numFmtId="0" fontId="5" fillId="6" borderId="2" xfId="3" applyFont="1" applyFill="1" applyBorder="1" applyAlignment="1">
      <alignment horizontal="center" vertical="center" wrapText="1"/>
    </xf>
    <xf numFmtId="164" fontId="3" fillId="0" borderId="1" xfId="1" applyNumberFormat="1" applyFont="1" applyFill="1" applyBorder="1" applyAlignment="1" applyProtection="1">
      <alignment horizontal="center" wrapText="1"/>
    </xf>
    <xf numFmtId="0" fontId="2" fillId="0" borderId="9" xfId="3" applyFont="1" applyBorder="1" applyAlignment="1">
      <alignment horizontal="center" vertical="center" wrapText="1"/>
    </xf>
    <xf numFmtId="0" fontId="8" fillId="0" borderId="2" xfId="3" applyFont="1" applyBorder="1" applyAlignment="1">
      <alignment horizontal="center" textRotation="255" wrapText="1"/>
    </xf>
    <xf numFmtId="0" fontId="5" fillId="0" borderId="2" xfId="3" applyFont="1" applyBorder="1" applyAlignment="1">
      <alignment horizontal="center" vertical="center" wrapText="1"/>
    </xf>
    <xf numFmtId="0" fontId="2" fillId="8" borderId="2" xfId="3" applyFont="1" applyFill="1" applyBorder="1" applyAlignment="1">
      <alignment horizontal="center"/>
    </xf>
    <xf numFmtId="0" fontId="2" fillId="10" borderId="2" xfId="3" applyFont="1" applyFill="1" applyBorder="1" applyAlignment="1">
      <alignment horizontal="center"/>
    </xf>
    <xf numFmtId="0" fontId="2" fillId="0" borderId="5" xfId="3" applyFont="1" applyBorder="1" applyAlignment="1">
      <alignment horizontal="center" vertical="center" wrapText="1"/>
    </xf>
    <xf numFmtId="0" fontId="2" fillId="8" borderId="5" xfId="3" applyFont="1" applyFill="1" applyBorder="1" applyAlignment="1">
      <alignment horizontal="center"/>
    </xf>
    <xf numFmtId="0" fontId="2" fillId="11" borderId="3" xfId="3" applyFont="1" applyFill="1" applyBorder="1" applyAlignment="1">
      <alignment horizontal="center" vertical="center"/>
    </xf>
    <xf numFmtId="0" fontId="2" fillId="7" borderId="5" xfId="3" applyFont="1" applyFill="1" applyBorder="1" applyAlignment="1">
      <alignment horizontal="center" vertical="center"/>
    </xf>
    <xf numFmtId="0" fontId="10" fillId="0" borderId="15" xfId="3" applyFont="1" applyBorder="1" applyAlignment="1">
      <alignment horizontal="center"/>
    </xf>
    <xf numFmtId="0" fontId="2" fillId="12" borderId="0" xfId="3" applyFont="1" applyFill="1" applyBorder="1" applyAlignment="1">
      <alignment horizontal="center"/>
    </xf>
    <xf numFmtId="0" fontId="3" fillId="0" borderId="1" xfId="3" applyFont="1" applyBorder="1" applyAlignment="1">
      <alignment horizontal="center" wrapText="1"/>
    </xf>
    <xf numFmtId="0" fontId="2" fillId="0" borderId="12" xfId="3" applyFont="1" applyBorder="1" applyAlignment="1">
      <alignment horizontal="center" vertical="center" wrapText="1"/>
    </xf>
    <xf numFmtId="0" fontId="2" fillId="0" borderId="2" xfId="3" applyFont="1" applyBorder="1" applyAlignment="1">
      <alignment horizontal="center" wrapText="1"/>
    </xf>
    <xf numFmtId="0" fontId="2" fillId="13" borderId="2" xfId="3" applyFont="1" applyFill="1" applyBorder="1" applyAlignment="1">
      <alignment horizontal="center" vertical="center"/>
    </xf>
    <xf numFmtId="0" fontId="2" fillId="8" borderId="2" xfId="3" applyFont="1" applyFill="1" applyBorder="1" applyAlignment="1">
      <alignment horizontal="center" vertical="center" wrapText="1"/>
    </xf>
    <xf numFmtId="0" fontId="2" fillId="6" borderId="2" xfId="3" applyFont="1" applyFill="1" applyBorder="1" applyAlignment="1">
      <alignment horizontal="center" wrapText="1"/>
    </xf>
    <xf numFmtId="0" fontId="2" fillId="13" borderId="2" xfId="3" applyFont="1" applyFill="1" applyBorder="1" applyAlignment="1">
      <alignment horizontal="center" vertical="center" wrapText="1"/>
    </xf>
    <xf numFmtId="0" fontId="2" fillId="5" borderId="2" xfId="3" applyFont="1" applyFill="1" applyBorder="1" applyAlignment="1">
      <alignment horizontal="center" vertical="center" wrapText="1"/>
    </xf>
    <xf numFmtId="0" fontId="2" fillId="0" borderId="9" xfId="3" applyFont="1" applyBorder="1" applyAlignment="1">
      <alignment horizontal="center" vertical="center"/>
    </xf>
    <xf numFmtId="0" fontId="2" fillId="0" borderId="2" xfId="3" applyFont="1" applyFill="1" applyBorder="1" applyAlignment="1">
      <alignment horizontal="center"/>
    </xf>
    <xf numFmtId="0" fontId="2" fillId="14" borderId="5" xfId="3" applyFont="1" applyFill="1" applyBorder="1" applyAlignment="1">
      <alignment horizontal="center" vertical="center" wrapText="1"/>
    </xf>
    <xf numFmtId="0" fontId="4" fillId="4" borderId="2" xfId="3" applyFont="1" applyFill="1" applyBorder="1" applyAlignment="1">
      <alignment horizontal="center" vertical="center"/>
    </xf>
    <xf numFmtId="0" fontId="2" fillId="5" borderId="12" xfId="3" applyFont="1" applyFill="1" applyBorder="1" applyAlignment="1">
      <alignment horizontal="center" vertical="center"/>
    </xf>
    <xf numFmtId="0" fontId="2" fillId="0" borderId="2" xfId="3" applyFont="1" applyFill="1" applyBorder="1" applyAlignment="1">
      <alignment horizontal="center" vertical="center" wrapText="1"/>
    </xf>
    <xf numFmtId="0" fontId="2" fillId="15" borderId="2" xfId="3" applyFont="1" applyFill="1" applyBorder="1" applyAlignment="1">
      <alignment horizontal="center" wrapText="1"/>
    </xf>
    <xf numFmtId="0" fontId="4" fillId="10" borderId="12" xfId="3" applyFont="1" applyFill="1" applyBorder="1" applyAlignment="1">
      <alignment horizontal="center"/>
    </xf>
    <xf numFmtId="0" fontId="13" fillId="0" borderId="0" xfId="3" applyFont="1" applyBorder="1" applyAlignment="1">
      <alignment horizontal="center" wrapText="1"/>
    </xf>
    <xf numFmtId="0" fontId="13" fillId="0" borderId="2" xfId="3" applyFont="1" applyBorder="1" applyAlignment="1">
      <alignment horizontal="center"/>
    </xf>
    <xf numFmtId="0" fontId="13" fillId="0" borderId="0" xfId="3" applyFont="1" applyBorder="1" applyAlignment="1">
      <alignment horizontal="center" vertical="center" textRotation="255" wrapText="1"/>
    </xf>
    <xf numFmtId="0" fontId="13" fillId="2" borderId="2" xfId="3" applyFont="1" applyFill="1" applyBorder="1" applyAlignment="1">
      <alignment horizontal="center" wrapText="1"/>
    </xf>
    <xf numFmtId="0" fontId="13" fillId="2" borderId="2" xfId="3" applyFont="1" applyFill="1" applyBorder="1" applyAlignment="1">
      <alignment horizontal="center" vertical="center" wrapText="1"/>
    </xf>
    <xf numFmtId="0" fontId="13" fillId="0" borderId="0" xfId="3" applyFont="1" applyFill="1" applyBorder="1" applyAlignment="1">
      <alignment horizontal="center" vertical="center" textRotation="255"/>
    </xf>
    <xf numFmtId="0" fontId="13" fillId="0" borderId="2" xfId="3" applyFont="1" applyBorder="1" applyAlignment="1">
      <alignment horizontal="center" vertical="center"/>
    </xf>
    <xf numFmtId="0" fontId="13" fillId="0" borderId="2" xfId="3" applyFont="1" applyBorder="1" applyAlignment="1">
      <alignment horizontal="center" vertical="center" wrapText="1"/>
    </xf>
    <xf numFmtId="0" fontId="13" fillId="0" borderId="0" xfId="3" applyFont="1" applyBorder="1" applyAlignment="1">
      <alignment horizontal="center" vertical="center" textRotation="255"/>
    </xf>
    <xf numFmtId="0" fontId="13" fillId="0" borderId="4" xfId="3" applyFont="1" applyBorder="1" applyAlignment="1">
      <alignment horizontal="center" vertical="center" wrapText="1"/>
    </xf>
    <xf numFmtId="0" fontId="13" fillId="5" borderId="9" xfId="3" applyFont="1" applyFill="1" applyBorder="1" applyAlignment="1">
      <alignment horizontal="center" vertical="center" wrapText="1"/>
    </xf>
    <xf numFmtId="0" fontId="13" fillId="0" borderId="11" xfId="3" applyFont="1" applyBorder="1" applyAlignment="1">
      <alignment horizontal="center" wrapText="1"/>
    </xf>
    <xf numFmtId="0" fontId="13" fillId="0" borderId="9" xfId="3" applyFont="1" applyBorder="1" applyAlignment="1">
      <alignment horizontal="center" wrapText="1"/>
    </xf>
    <xf numFmtId="0" fontId="13" fillId="6" borderId="2" xfId="3" applyFont="1" applyFill="1" applyBorder="1" applyAlignment="1">
      <alignment horizontal="center" vertical="center" wrapText="1"/>
    </xf>
    <xf numFmtId="164" fontId="13" fillId="0" borderId="0" xfId="1" applyNumberFormat="1" applyFont="1" applyFill="1" applyBorder="1" applyAlignment="1" applyProtection="1">
      <alignment horizontal="center" wrapText="1"/>
    </xf>
    <xf numFmtId="0" fontId="13" fillId="0" borderId="9" xfId="3" applyFont="1" applyBorder="1" applyAlignment="1">
      <alignment horizontal="center" vertical="center" wrapText="1"/>
    </xf>
    <xf numFmtId="0" fontId="13" fillId="0" borderId="2" xfId="3" applyFont="1" applyBorder="1" applyAlignment="1">
      <alignment horizontal="center" textRotation="255" wrapText="1"/>
    </xf>
    <xf numFmtId="0" fontId="13" fillId="8" borderId="2" xfId="3" applyFont="1" applyFill="1" applyBorder="1" applyAlignment="1">
      <alignment horizontal="center"/>
    </xf>
    <xf numFmtId="0" fontId="13" fillId="10" borderId="2" xfId="3" applyFont="1" applyFill="1" applyBorder="1" applyAlignment="1">
      <alignment horizontal="center"/>
    </xf>
    <xf numFmtId="0" fontId="13" fillId="0" borderId="5" xfId="3" applyFont="1" applyBorder="1" applyAlignment="1">
      <alignment horizontal="center" vertical="center" wrapText="1"/>
    </xf>
    <xf numFmtId="0" fontId="13" fillId="8" borderId="5" xfId="3" applyFont="1" applyFill="1" applyBorder="1" applyAlignment="1">
      <alignment horizontal="center"/>
    </xf>
    <xf numFmtId="0" fontId="13" fillId="11" borderId="3" xfId="3" applyFont="1" applyFill="1" applyBorder="1" applyAlignment="1">
      <alignment horizontal="center" vertical="center"/>
    </xf>
    <xf numFmtId="0" fontId="13" fillId="7" borderId="5" xfId="3" applyFont="1" applyFill="1" applyBorder="1" applyAlignment="1">
      <alignment horizontal="center" vertical="center"/>
    </xf>
    <xf numFmtId="0" fontId="18" fillId="0" borderId="15" xfId="3" applyFont="1" applyBorder="1" applyAlignment="1">
      <alignment horizontal="center"/>
    </xf>
    <xf numFmtId="0" fontId="13" fillId="12" borderId="0" xfId="3" applyFont="1" applyFill="1" applyBorder="1" applyAlignment="1">
      <alignment horizontal="center"/>
    </xf>
    <xf numFmtId="0" fontId="13" fillId="0" borderId="12" xfId="3" applyFont="1" applyBorder="1" applyAlignment="1">
      <alignment horizontal="center" vertical="center" wrapText="1"/>
    </xf>
    <xf numFmtId="0" fontId="13" fillId="0" borderId="2" xfId="3" applyFont="1" applyBorder="1" applyAlignment="1">
      <alignment horizontal="center" wrapText="1"/>
    </xf>
    <xf numFmtId="0" fontId="13" fillId="13" borderId="2" xfId="3" applyFont="1" applyFill="1" applyBorder="1" applyAlignment="1">
      <alignment horizontal="center" vertical="center"/>
    </xf>
    <xf numFmtId="0" fontId="13" fillId="8" borderId="2" xfId="3" applyFont="1" applyFill="1" applyBorder="1" applyAlignment="1">
      <alignment horizontal="center" vertical="center" wrapText="1"/>
    </xf>
    <xf numFmtId="0" fontId="13" fillId="6" borderId="2" xfId="3" applyFont="1" applyFill="1" applyBorder="1" applyAlignment="1">
      <alignment horizontal="center" wrapText="1"/>
    </xf>
    <xf numFmtId="0" fontId="13" fillId="13" borderId="2" xfId="3" applyFont="1" applyFill="1" applyBorder="1" applyAlignment="1">
      <alignment horizontal="center" vertical="center" wrapText="1"/>
    </xf>
    <xf numFmtId="0" fontId="13" fillId="5" borderId="2" xfId="3" applyFont="1" applyFill="1" applyBorder="1" applyAlignment="1">
      <alignment horizontal="center" vertical="center" wrapText="1"/>
    </xf>
    <xf numFmtId="0" fontId="13" fillId="0" borderId="9" xfId="3" applyFont="1" applyBorder="1" applyAlignment="1">
      <alignment horizontal="center" vertical="center"/>
    </xf>
    <xf numFmtId="0" fontId="13" fillId="0" borderId="2" xfId="3" applyFont="1" applyFill="1" applyBorder="1" applyAlignment="1">
      <alignment horizontal="center"/>
    </xf>
    <xf numFmtId="0" fontId="13" fillId="14" borderId="5" xfId="3" applyFont="1" applyFill="1" applyBorder="1" applyAlignment="1">
      <alignment horizontal="center" vertical="center" wrapText="1"/>
    </xf>
    <xf numFmtId="0" fontId="14" fillId="4" borderId="2" xfId="3" applyFont="1" applyFill="1" applyBorder="1" applyAlignment="1">
      <alignment horizontal="center" vertical="center"/>
    </xf>
    <xf numFmtId="0" fontId="13" fillId="5" borderId="12" xfId="3" applyFont="1" applyFill="1" applyBorder="1" applyAlignment="1">
      <alignment horizontal="center" vertical="center"/>
    </xf>
    <xf numFmtId="0" fontId="13" fillId="0" borderId="2" xfId="3" applyFont="1" applyFill="1" applyBorder="1" applyAlignment="1">
      <alignment horizontal="center" vertical="center" wrapText="1"/>
    </xf>
    <xf numFmtId="0" fontId="13" fillId="15" borderId="2" xfId="3" applyFont="1" applyFill="1" applyBorder="1" applyAlignment="1">
      <alignment horizontal="center" wrapText="1"/>
    </xf>
    <xf numFmtId="0" fontId="14" fillId="10" borderId="12" xfId="3" applyFont="1" applyFill="1" applyBorder="1" applyAlignment="1">
      <alignment horizontal="center"/>
    </xf>
    <xf numFmtId="0" fontId="4" fillId="4" borderId="5" xfId="3" applyFont="1" applyFill="1" applyBorder="1" applyAlignment="1">
      <alignment horizontal="center" vertical="center"/>
    </xf>
    <xf numFmtId="0" fontId="2" fillId="0" borderId="12" xfId="3" applyFont="1" applyBorder="1" applyAlignment="1">
      <alignment horizontal="center"/>
    </xf>
    <xf numFmtId="0" fontId="2" fillId="0" borderId="11" xfId="3" applyFont="1" applyBorder="1" applyAlignment="1">
      <alignment horizontal="center"/>
    </xf>
    <xf numFmtId="0" fontId="2" fillId="11" borderId="33" xfId="3" applyFont="1" applyFill="1" applyBorder="1" applyAlignment="1">
      <alignment horizontal="center" vertical="center"/>
    </xf>
    <xf numFmtId="0" fontId="2" fillId="7" borderId="2" xfId="3" applyFont="1" applyFill="1" applyBorder="1" applyAlignment="1">
      <alignment horizontal="center" vertical="center"/>
    </xf>
    <xf numFmtId="0" fontId="20" fillId="0" borderId="15" xfId="3" applyFont="1" applyBorder="1" applyAlignment="1">
      <alignment horizontal="center"/>
    </xf>
    <xf numFmtId="0" fontId="2" fillId="0" borderId="33" xfId="3" applyFont="1" applyBorder="1" applyAlignment="1">
      <alignment horizontal="center" vertical="center" wrapText="1"/>
    </xf>
    <xf numFmtId="0" fontId="2" fillId="0" borderId="4" xfId="3" applyFont="1" applyBorder="1" applyAlignment="1">
      <alignment horizontal="center" wrapText="1"/>
    </xf>
    <xf numFmtId="0" fontId="2" fillId="0" borderId="5" xfId="3" applyFont="1" applyBorder="1" applyAlignment="1">
      <alignment horizontal="center" vertical="top" wrapText="1"/>
    </xf>
    <xf numFmtId="0" fontId="2" fillId="0" borderId="5" xfId="3" applyFont="1" applyBorder="1" applyAlignment="1">
      <alignment horizontal="right"/>
    </xf>
    <xf numFmtId="0" fontId="2" fillId="0" borderId="12" xfId="3" applyFont="1" applyBorder="1" applyAlignment="1">
      <alignment horizontal="center" wrapText="1"/>
    </xf>
    <xf numFmtId="0" fontId="2" fillId="16" borderId="2" xfId="3" applyFont="1" applyFill="1" applyBorder="1" applyAlignment="1">
      <alignment horizontal="center" vertical="center" wrapText="1"/>
    </xf>
    <xf numFmtId="0" fontId="2" fillId="17" borderId="2" xfId="3" applyFont="1" applyFill="1" applyBorder="1" applyAlignment="1">
      <alignment horizontal="center"/>
    </xf>
    <xf numFmtId="0" fontId="2" fillId="17" borderId="5" xfId="3" applyFont="1" applyFill="1" applyBorder="1" applyAlignment="1">
      <alignment horizontal="center"/>
    </xf>
    <xf numFmtId="0" fontId="2" fillId="17" borderId="2" xfId="3" applyFont="1" applyFill="1" applyBorder="1" applyAlignment="1">
      <alignment horizontal="center" vertical="center" wrapText="1"/>
    </xf>
    <xf numFmtId="0" fontId="2" fillId="0" borderId="0" xfId="3" applyFont="1" applyFill="1" applyBorder="1" applyAlignment="1">
      <alignment horizontal="center" vertical="center" textRotation="255" wrapText="1"/>
    </xf>
    <xf numFmtId="0" fontId="2" fillId="0" borderId="5" xfId="3" applyFont="1" applyFill="1" applyBorder="1" applyAlignment="1">
      <alignment horizontal="center" textRotation="255" wrapText="1"/>
    </xf>
    <xf numFmtId="0" fontId="21" fillId="4" borderId="5" xfId="3" applyFont="1" applyFill="1" applyBorder="1" applyAlignment="1">
      <alignment horizontal="center" vertical="center"/>
    </xf>
    <xf numFmtId="0" fontId="2" fillId="16" borderId="2" xfId="3" applyFont="1" applyFill="1" applyBorder="1" applyAlignment="1">
      <alignment horizontal="center" vertical="center"/>
    </xf>
    <xf numFmtId="0" fontId="2" fillId="0" borderId="0" xfId="3" applyFont="1" applyBorder="1" applyAlignment="1">
      <alignment horizontal="center" vertical="center" wrapText="1"/>
    </xf>
    <xf numFmtId="0" fontId="2" fillId="7" borderId="4" xfId="3" applyFont="1" applyFill="1" applyBorder="1" applyAlignment="1">
      <alignment horizontal="center" vertical="center"/>
    </xf>
    <xf numFmtId="0" fontId="20" fillId="0" borderId="2" xfId="3" applyFont="1" applyBorder="1" applyAlignment="1">
      <alignment horizontal="center"/>
    </xf>
    <xf numFmtId="0" fontId="21" fillId="4" borderId="2" xfId="3" applyFont="1" applyFill="1" applyBorder="1" applyAlignment="1">
      <alignment horizontal="center" vertical="center"/>
    </xf>
    <xf numFmtId="0" fontId="2" fillId="0" borderId="12" xfId="3" applyFont="1" applyBorder="1" applyAlignment="1">
      <alignment horizontal="center" vertical="center"/>
    </xf>
    <xf numFmtId="0" fontId="5" fillId="0" borderId="5" xfId="3" applyFont="1" applyBorder="1" applyAlignment="1">
      <alignment horizontal="center" vertical="center" wrapText="1"/>
    </xf>
    <xf numFmtId="0" fontId="2" fillId="0" borderId="5" xfId="3" applyFont="1" applyBorder="1" applyAlignment="1">
      <alignment horizontal="center" wrapText="1"/>
    </xf>
  </cellXfs>
  <cellStyles count="4">
    <cellStyle name="Comma" xfId="1" builtinId="3"/>
    <cellStyle name="Excel Built-in Normal" xfId="3"/>
    <cellStyle name="Normal" xfId="0" builtinId="0"/>
    <cellStyle name="Percent" xfId="2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CCFF"/>
      <rgbColor rgb="00DC23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A19BC6"/>
      <rgbColor rgb="00800080"/>
      <rgbColor rgb="00008080"/>
      <rgbColor rgb="00BFBFBF"/>
      <rgbColor rgb="007F7F7F"/>
      <rgbColor rgb="009B94F2"/>
      <rgbColor rgb="00934BC9"/>
      <rgbColor rgb="00FFFFCC"/>
      <rgbColor rgb="00DEEBF7"/>
      <rgbColor rgb="00660066"/>
      <rgbColor rgb="00FF6565"/>
      <rgbColor rgb="000066CC"/>
      <rgbColor rgb="00D0CECE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D9D9D9"/>
      <rgbColor rgb="00FFE699"/>
      <rgbColor rgb="009DC3E6"/>
      <rgbColor rgb="00FFB2B2"/>
      <rgbColor rgb="00CC99FF"/>
      <rgbColor rgb="00F8CBAD"/>
      <rgbColor rgb="009966FF"/>
      <rgbColor rgb="0033CCCC"/>
      <rgbColor rgb="00A9D18E"/>
      <rgbColor rgb="00FFC000"/>
      <rgbColor rgb="00EEB000"/>
      <rgbColor rgb="00FF6600"/>
      <rgbColor rgb="00767171"/>
      <rgbColor rgb="00A6A6A6"/>
      <rgbColor rgb="00003366"/>
      <rgbColor rgb="0000B050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104775</xdr:colOff>
      <xdr:row>23</xdr:row>
      <xdr:rowOff>133350</xdr:rowOff>
    </xdr:from>
    <xdr:to>
      <xdr:col>31</xdr:col>
      <xdr:colOff>266700</xdr:colOff>
      <xdr:row>32</xdr:row>
      <xdr:rowOff>28575</xdr:rowOff>
    </xdr:to>
    <xdr:pic>
      <xdr:nvPicPr>
        <xdr:cNvPr id="307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30450" y="4343400"/>
          <a:ext cx="1876425" cy="16097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190500</xdr:colOff>
      <xdr:row>14</xdr:row>
      <xdr:rowOff>219075</xdr:rowOff>
    </xdr:from>
    <xdr:to>
      <xdr:col>16</xdr:col>
      <xdr:colOff>762000</xdr:colOff>
      <xdr:row>20</xdr:row>
      <xdr:rowOff>66675</xdr:rowOff>
    </xdr:to>
    <xdr:pic>
      <xdr:nvPicPr>
        <xdr:cNvPr id="512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0225" y="3838575"/>
          <a:ext cx="1866900" cy="16668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21</xdr:col>
      <xdr:colOff>28575</xdr:colOff>
      <xdr:row>23</xdr:row>
      <xdr:rowOff>38100</xdr:rowOff>
    </xdr:from>
    <xdr:to>
      <xdr:col>22</xdr:col>
      <xdr:colOff>714375</xdr:colOff>
      <xdr:row>31</xdr:row>
      <xdr:rowOff>171450</xdr:rowOff>
    </xdr:to>
    <xdr:pic>
      <xdr:nvPicPr>
        <xdr:cNvPr id="512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354800" y="6067425"/>
          <a:ext cx="1838325" cy="15906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mailto:lliu@cec3.org" TargetMode="External"/><Relationship Id="rId1" Type="http://schemas.openxmlformats.org/officeDocument/2006/relationships/hyperlink" Target="mailto:mdiller@nyc.rr.com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AW67"/>
  <sheetViews>
    <sheetView tabSelected="1" topLeftCell="D1" zoomScale="130" zoomScaleNormal="130" workbookViewId="0">
      <selection activeCell="J54" sqref="J54"/>
    </sheetView>
  </sheetViews>
  <sheetFormatPr defaultColWidth="9.42578125" defaultRowHeight="14.25" x14ac:dyDescent="0.2"/>
  <cols>
    <col min="1" max="6" width="9.42578125" style="1"/>
    <col min="7" max="7" width="7" style="1" customWidth="1"/>
    <col min="8" max="9" width="10.140625" style="1" customWidth="1"/>
    <col min="10" max="10" width="8.5703125" style="1" customWidth="1"/>
    <col min="11" max="11" width="8.85546875" style="1" customWidth="1"/>
    <col min="12" max="12" width="1.85546875" style="1" customWidth="1"/>
    <col min="13" max="13" width="8.85546875" style="1" customWidth="1"/>
    <col min="14" max="14" width="9.5703125" style="1" customWidth="1"/>
    <col min="15" max="15" width="12" style="2" customWidth="1"/>
    <col min="16" max="16" width="4.5703125" style="1" customWidth="1"/>
    <col min="17" max="18" width="5.140625" style="1" customWidth="1"/>
    <col min="19" max="19" width="6.7109375" style="1" customWidth="1"/>
    <col min="20" max="20" width="5.140625" style="1" customWidth="1"/>
    <col min="21" max="21" width="4.7109375" style="1" customWidth="1"/>
    <col min="22" max="22" width="9" style="1" customWidth="1"/>
    <col min="23" max="28" width="5.140625" style="1" customWidth="1"/>
    <col min="29" max="29" width="8.85546875" style="1" customWidth="1"/>
    <col min="30" max="30" width="9.42578125" style="1"/>
    <col min="31" max="31" width="7.85546875" style="1" customWidth="1"/>
    <col min="32" max="32" width="8.140625" style="1" customWidth="1"/>
    <col min="33" max="33" width="7.5703125" style="1" customWidth="1"/>
    <col min="34" max="36" width="8.5703125" style="1" customWidth="1"/>
    <col min="37" max="40" width="5.140625" style="1" customWidth="1"/>
    <col min="41" max="16384" width="9.42578125" style="1"/>
  </cols>
  <sheetData>
    <row r="3" spans="2:49" ht="15" x14ac:dyDescent="0.25">
      <c r="O3" s="2" t="s">
        <v>0</v>
      </c>
      <c r="AB3" s="3"/>
    </row>
    <row r="4" spans="2:49" ht="14.1" customHeight="1" x14ac:dyDescent="0.2">
      <c r="L4" s="303"/>
      <c r="M4" s="4"/>
      <c r="N4" s="4"/>
      <c r="O4" s="5"/>
      <c r="Q4" s="304" t="s">
        <v>1</v>
      </c>
      <c r="R4" s="304"/>
      <c r="S4" s="304"/>
      <c r="T4" s="304"/>
      <c r="V4" s="304" t="s">
        <v>1</v>
      </c>
      <c r="W4" s="304"/>
      <c r="X4" s="304"/>
      <c r="Y4" s="304"/>
      <c r="Z4" s="304"/>
      <c r="AA4" s="6"/>
      <c r="AB4" s="304" t="s">
        <v>1</v>
      </c>
      <c r="AC4" s="304"/>
      <c r="AD4" s="304"/>
      <c r="AE4" s="304"/>
      <c r="AF4" s="304"/>
      <c r="AG4" s="304"/>
      <c r="AH4" s="305" t="s">
        <v>2</v>
      </c>
      <c r="AI4" s="304" t="s">
        <v>1</v>
      </c>
      <c r="AJ4" s="304"/>
      <c r="AK4" s="304"/>
      <c r="AL4" s="304"/>
      <c r="AM4" s="304"/>
    </row>
    <row r="5" spans="2:49" x14ac:dyDescent="0.2">
      <c r="L5" s="303"/>
      <c r="M5" s="4"/>
      <c r="N5" s="4"/>
      <c r="O5" s="5"/>
      <c r="Q5" s="7"/>
      <c r="R5" s="306">
        <v>452</v>
      </c>
      <c r="S5" s="8"/>
      <c r="T5" s="7"/>
      <c r="V5" s="7"/>
      <c r="W5" s="7"/>
      <c r="X5" s="7">
        <v>452</v>
      </c>
      <c r="Y5" s="7"/>
      <c r="Z5" s="7"/>
      <c r="AA5" s="6"/>
      <c r="AB5" s="7"/>
      <c r="AC5" s="7"/>
      <c r="AD5" s="7"/>
      <c r="AE5" s="7"/>
      <c r="AF5" s="7"/>
      <c r="AG5" s="7"/>
      <c r="AH5" s="305"/>
      <c r="AI5" s="7"/>
      <c r="AJ5" s="7"/>
      <c r="AK5" s="7"/>
      <c r="AL5" s="7"/>
      <c r="AM5" s="307"/>
    </row>
    <row r="6" spans="2:49" x14ac:dyDescent="0.2">
      <c r="I6" s="1">
        <v>305</v>
      </c>
      <c r="L6" s="303"/>
      <c r="M6" s="4">
        <f>X6</f>
        <v>305</v>
      </c>
      <c r="N6" s="4"/>
      <c r="O6" s="5"/>
      <c r="Q6" s="7"/>
      <c r="R6" s="306"/>
      <c r="S6" s="8"/>
      <c r="T6" s="9"/>
      <c r="V6" s="6"/>
      <c r="W6" s="6"/>
      <c r="X6" s="6">
        <f>I6</f>
        <v>305</v>
      </c>
      <c r="Y6" s="6"/>
      <c r="Z6" s="10"/>
      <c r="AA6" s="6"/>
      <c r="AB6" s="7"/>
      <c r="AC6" s="7"/>
      <c r="AD6" s="7">
        <v>87</v>
      </c>
      <c r="AE6" s="7"/>
      <c r="AF6" s="7"/>
      <c r="AG6" s="7"/>
      <c r="AH6" s="305"/>
      <c r="AI6" s="7"/>
      <c r="AJ6" s="7"/>
      <c r="AK6" s="7"/>
      <c r="AL6" s="7"/>
      <c r="AM6" s="307"/>
    </row>
    <row r="7" spans="2:49" ht="15" customHeight="1" x14ac:dyDescent="0.2">
      <c r="O7" s="2" t="s">
        <v>3</v>
      </c>
      <c r="Q7" s="304" t="s">
        <v>4</v>
      </c>
      <c r="R7" s="304"/>
      <c r="S7" s="304"/>
      <c r="T7" s="304"/>
      <c r="U7" s="308" t="s">
        <v>5</v>
      </c>
      <c r="V7" s="304" t="s">
        <v>4</v>
      </c>
      <c r="W7" s="304"/>
      <c r="X7" s="304"/>
      <c r="Y7" s="304"/>
      <c r="Z7" s="304"/>
      <c r="AA7" s="6"/>
      <c r="AB7" s="304" t="s">
        <v>4</v>
      </c>
      <c r="AC7" s="304"/>
      <c r="AD7" s="304"/>
      <c r="AE7" s="304"/>
      <c r="AF7" s="304"/>
      <c r="AG7" s="304"/>
      <c r="AH7" s="305"/>
      <c r="AI7" s="304" t="s">
        <v>4</v>
      </c>
      <c r="AJ7" s="304"/>
      <c r="AK7" s="304"/>
      <c r="AL7" s="304"/>
      <c r="AM7" s="304"/>
    </row>
    <row r="8" spans="2:49" ht="15" customHeight="1" x14ac:dyDescent="0.2">
      <c r="B8" s="1">
        <f>H8-AO8</f>
        <v>552</v>
      </c>
      <c r="H8" s="1">
        <v>552</v>
      </c>
      <c r="I8" s="1">
        <v>371</v>
      </c>
      <c r="M8" s="1">
        <f>S8+X8</f>
        <v>923</v>
      </c>
      <c r="O8" s="11">
        <f>X6+S8+S9+X8+X9+R11+R14+R17+R20+R21+W11+X14+X17+Y19+X20+X21+X26+AE11+AE12+AF14+AF15+AE17+AE18+AD20+AD21+AB23+AL24+AL23+AK21+AK20+AK18+AK17+AK15+AK14+AK12+AK11</f>
        <v>18179</v>
      </c>
      <c r="Q8" s="309"/>
      <c r="R8" s="12"/>
      <c r="S8" s="1">
        <f>H8</f>
        <v>552</v>
      </c>
      <c r="T8" s="13"/>
      <c r="U8" s="308"/>
      <c r="V8" s="6"/>
      <c r="W8" s="6"/>
      <c r="X8" s="6">
        <f>I8</f>
        <v>371</v>
      </c>
      <c r="Y8" s="6"/>
      <c r="Z8" s="310"/>
      <c r="AA8" s="6"/>
      <c r="AB8" s="7"/>
      <c r="AC8" s="7"/>
      <c r="AD8" s="7"/>
      <c r="AE8" s="7"/>
      <c r="AF8" s="7"/>
      <c r="AG8" s="7"/>
      <c r="AH8" s="305"/>
      <c r="AI8" s="7"/>
      <c r="AJ8" s="7"/>
      <c r="AK8" s="7"/>
      <c r="AL8" s="7"/>
      <c r="AM8" s="7"/>
      <c r="AU8" s="1">
        <f>AE54</f>
        <v>6186</v>
      </c>
      <c r="AV8" s="1">
        <f>SUM(AQ11:AR21)</f>
        <v>0</v>
      </c>
      <c r="AW8" s="1">
        <f>AE53</f>
        <v>6146</v>
      </c>
    </row>
    <row r="9" spans="2:49" ht="15" customHeight="1" x14ac:dyDescent="0.2">
      <c r="B9" s="1">
        <f>H9-AO9</f>
        <v>698</v>
      </c>
      <c r="C9" s="1">
        <f>SUM(H8:H9)</f>
        <v>1250</v>
      </c>
      <c r="D9" s="1">
        <f>SUM(I8:I9)</f>
        <v>1145</v>
      </c>
      <c r="H9" s="1">
        <v>698</v>
      </c>
      <c r="I9" s="1">
        <v>774</v>
      </c>
      <c r="M9" s="1">
        <f>S9+X9</f>
        <v>1472</v>
      </c>
      <c r="O9" s="2" t="s">
        <v>6</v>
      </c>
      <c r="Q9" s="309"/>
      <c r="S9" s="1">
        <f>H9</f>
        <v>698</v>
      </c>
      <c r="U9" s="308"/>
      <c r="W9" s="4"/>
      <c r="X9" s="1">
        <f>I9</f>
        <v>774</v>
      </c>
      <c r="Z9" s="310"/>
      <c r="AB9" s="7"/>
      <c r="AC9" s="7"/>
      <c r="AD9" s="7">
        <v>87</v>
      </c>
      <c r="AE9" s="7"/>
      <c r="AF9" s="7"/>
      <c r="AG9" s="7"/>
      <c r="AH9" s="305"/>
      <c r="AI9" s="7"/>
      <c r="AJ9" s="7"/>
      <c r="AK9" s="14">
        <v>87</v>
      </c>
      <c r="AL9" s="7"/>
      <c r="AM9" s="7"/>
      <c r="AU9" s="1">
        <f>AT8-AU8</f>
        <v>-6186</v>
      </c>
      <c r="AW9" s="1">
        <f>AV8-AW8</f>
        <v>-6146</v>
      </c>
    </row>
    <row r="10" spans="2:49" ht="15" customHeight="1" x14ac:dyDescent="0.2">
      <c r="Q10" s="304" t="s">
        <v>7</v>
      </c>
      <c r="R10" s="304"/>
      <c r="S10" s="304"/>
      <c r="T10" s="304"/>
      <c r="U10" s="308"/>
      <c r="V10" s="304" t="s">
        <v>7</v>
      </c>
      <c r="W10" s="304"/>
      <c r="X10" s="304"/>
      <c r="Y10" s="304"/>
      <c r="Z10" s="304"/>
      <c r="AA10" s="311" t="s">
        <v>8</v>
      </c>
      <c r="AB10" s="304" t="s">
        <v>7</v>
      </c>
      <c r="AC10" s="304"/>
      <c r="AD10" s="304"/>
      <c r="AE10" s="304"/>
      <c r="AF10" s="304"/>
      <c r="AG10" s="304"/>
      <c r="AH10" s="305"/>
      <c r="AI10" s="304" t="s">
        <v>7</v>
      </c>
      <c r="AJ10" s="304"/>
      <c r="AK10" s="304"/>
      <c r="AL10" s="304"/>
      <c r="AM10" s="304"/>
    </row>
    <row r="11" spans="2:49" ht="15" customHeight="1" x14ac:dyDescent="0.2">
      <c r="B11" s="1">
        <f>H11-AO11</f>
        <v>905</v>
      </c>
      <c r="C11" s="1">
        <f>SUM(H10:H11)</f>
        <v>905</v>
      </c>
      <c r="D11" s="1">
        <f>SUM(I10:I11)</f>
        <v>587</v>
      </c>
      <c r="E11" s="1">
        <f>SUM(J10:J11)</f>
        <v>434</v>
      </c>
      <c r="F11" s="1">
        <v>212</v>
      </c>
      <c r="H11" s="1">
        <v>905</v>
      </c>
      <c r="I11" s="1">
        <v>587</v>
      </c>
      <c r="J11" s="1">
        <v>434</v>
      </c>
      <c r="K11" s="1">
        <v>212</v>
      </c>
      <c r="M11" s="1">
        <f>R11+W11+AE11+AK11</f>
        <v>2138</v>
      </c>
      <c r="Q11" s="310"/>
      <c r="R11" s="15">
        <f>H11</f>
        <v>905</v>
      </c>
      <c r="S11" s="15"/>
      <c r="T11" s="16"/>
      <c r="U11" s="308"/>
      <c r="V11" s="312"/>
      <c r="W11" s="1">
        <f>I11</f>
        <v>587</v>
      </c>
      <c r="Y11" s="17">
        <v>199</v>
      </c>
      <c r="Z11" s="18"/>
      <c r="AA11" s="311"/>
      <c r="AB11" s="310"/>
      <c r="AC11" s="19"/>
      <c r="AD11" s="20"/>
      <c r="AE11" s="19">
        <f>J11</f>
        <v>434</v>
      </c>
      <c r="AF11" s="19"/>
      <c r="AG11" s="19"/>
      <c r="AH11" s="305"/>
      <c r="AI11" s="19"/>
      <c r="AJ11" s="19"/>
      <c r="AK11" s="19">
        <f>K11</f>
        <v>212</v>
      </c>
      <c r="AL11" s="19"/>
      <c r="AM11" s="21"/>
    </row>
    <row r="12" spans="2:49" ht="15" customHeight="1" x14ac:dyDescent="0.2">
      <c r="J12" s="1">
        <v>500</v>
      </c>
      <c r="K12" s="1">
        <v>467</v>
      </c>
      <c r="M12" s="1">
        <f>AE12+AK12</f>
        <v>967</v>
      </c>
      <c r="Q12" s="310"/>
      <c r="R12" s="15"/>
      <c r="S12" s="15"/>
      <c r="T12" s="22"/>
      <c r="U12" s="308"/>
      <c r="V12" s="312"/>
      <c r="Z12" s="23"/>
      <c r="AA12" s="311"/>
      <c r="AB12" s="310"/>
      <c r="AE12" s="1">
        <f>J12</f>
        <v>500</v>
      </c>
      <c r="AH12" s="305"/>
      <c r="AK12" s="1">
        <f>K12</f>
        <v>467</v>
      </c>
    </row>
    <row r="13" spans="2:49" ht="15" customHeight="1" x14ac:dyDescent="0.2">
      <c r="Q13" s="24" t="s">
        <v>9</v>
      </c>
      <c r="T13" s="22"/>
      <c r="U13" s="308"/>
      <c r="V13" s="25"/>
      <c r="W13" s="26"/>
      <c r="X13" s="26"/>
      <c r="Y13" s="26"/>
      <c r="Z13" s="27" t="s">
        <v>9</v>
      </c>
      <c r="AA13" s="311"/>
      <c r="AB13" s="304" t="s">
        <v>9</v>
      </c>
      <c r="AC13" s="304"/>
      <c r="AD13" s="304"/>
      <c r="AE13" s="304"/>
      <c r="AF13" s="304"/>
      <c r="AG13" s="304"/>
      <c r="AH13" s="305"/>
      <c r="AI13" s="304" t="s">
        <v>9</v>
      </c>
      <c r="AJ13" s="304"/>
      <c r="AK13" s="304"/>
      <c r="AL13" s="304"/>
      <c r="AM13" s="304"/>
    </row>
    <row r="14" spans="2:49" ht="15" customHeight="1" x14ac:dyDescent="0.2">
      <c r="B14" s="1">
        <f>H14-AO14</f>
        <v>948</v>
      </c>
      <c r="C14" s="1">
        <f>SUM(H13:H14)</f>
        <v>948</v>
      </c>
      <c r="D14" s="1">
        <f>SUM(I13:I14)</f>
        <v>936</v>
      </c>
      <c r="E14" s="1">
        <f>SUM(J13:J14)</f>
        <v>1028</v>
      </c>
      <c r="F14" s="1">
        <v>314</v>
      </c>
      <c r="H14" s="1">
        <v>948</v>
      </c>
      <c r="I14" s="1">
        <v>936</v>
      </c>
      <c r="J14" s="1">
        <v>1028</v>
      </c>
      <c r="K14" s="1">
        <v>314</v>
      </c>
      <c r="M14" s="1">
        <f>R14+X14+AF14+AK14</f>
        <v>3226</v>
      </c>
      <c r="Q14" s="310"/>
      <c r="R14" s="15">
        <f>H14</f>
        <v>948</v>
      </c>
      <c r="S14" s="15"/>
      <c r="T14" s="28"/>
      <c r="U14" s="308"/>
      <c r="V14" s="29"/>
      <c r="W14" s="30"/>
      <c r="X14" s="30">
        <f>I14</f>
        <v>936</v>
      </c>
      <c r="Y14" s="30"/>
      <c r="Z14" s="313"/>
      <c r="AA14" s="311"/>
      <c r="AB14" s="310"/>
      <c r="AC14" s="31"/>
      <c r="AE14" s="32"/>
      <c r="AF14" s="1">
        <f>J14</f>
        <v>1028</v>
      </c>
      <c r="AH14" s="305"/>
      <c r="AK14" s="1">
        <f>K14</f>
        <v>314</v>
      </c>
    </row>
    <row r="15" spans="2:49" ht="15" customHeight="1" x14ac:dyDescent="0.2">
      <c r="J15" s="1">
        <v>249</v>
      </c>
      <c r="K15" s="1">
        <v>488</v>
      </c>
      <c r="M15" s="1">
        <f>R15+X15+AF15+AK15</f>
        <v>737</v>
      </c>
      <c r="Q15" s="310"/>
      <c r="R15" s="15"/>
      <c r="S15" s="15"/>
      <c r="T15" s="22"/>
      <c r="U15" s="308"/>
      <c r="V15" s="314" t="s">
        <v>10</v>
      </c>
      <c r="W15" s="314"/>
      <c r="X15" s="33"/>
      <c r="Y15" s="33"/>
      <c r="Z15" s="313"/>
      <c r="AA15" s="311"/>
      <c r="AB15" s="310"/>
      <c r="AC15" s="34" t="s">
        <v>11</v>
      </c>
      <c r="AD15" s="31"/>
      <c r="AF15" s="1">
        <f>J15</f>
        <v>249</v>
      </c>
      <c r="AG15" s="35"/>
      <c r="AH15" s="305"/>
      <c r="AK15" s="36">
        <f>K15</f>
        <v>488</v>
      </c>
      <c r="AL15" s="36"/>
      <c r="AM15" s="37"/>
    </row>
    <row r="16" spans="2:49" ht="15" customHeight="1" x14ac:dyDescent="0.2">
      <c r="H16" s="1">
        <v>858</v>
      </c>
      <c r="O16" s="2" t="s">
        <v>12</v>
      </c>
      <c r="Q16" s="38" t="s">
        <v>13</v>
      </c>
      <c r="R16" s="39"/>
      <c r="S16" s="39"/>
      <c r="T16" s="40"/>
      <c r="U16" s="308"/>
      <c r="V16" s="314"/>
      <c r="W16" s="314"/>
      <c r="X16" s="41"/>
      <c r="Y16" s="41"/>
      <c r="Z16" s="42" t="s">
        <v>14</v>
      </c>
      <c r="AA16" s="311"/>
      <c r="AB16" s="304" t="s">
        <v>13</v>
      </c>
      <c r="AC16" s="304"/>
      <c r="AD16" s="304"/>
      <c r="AE16" s="304"/>
      <c r="AF16" s="304"/>
      <c r="AG16" s="304"/>
      <c r="AH16" s="305"/>
      <c r="AI16" s="304" t="s">
        <v>13</v>
      </c>
      <c r="AJ16" s="304"/>
      <c r="AK16" s="304"/>
      <c r="AL16" s="304"/>
      <c r="AM16" s="304"/>
    </row>
    <row r="17" spans="1:41" ht="15" customHeight="1" x14ac:dyDescent="0.2">
      <c r="B17" s="1">
        <f>H16-AO17</f>
        <v>858</v>
      </c>
      <c r="C17" s="1">
        <f>SUM(H16:H17)</f>
        <v>858</v>
      </c>
      <c r="D17" s="1">
        <f>SUM(I16:I17)</f>
        <v>743</v>
      </c>
      <c r="E17" s="1">
        <f>SUM(J17:J18)</f>
        <v>1147</v>
      </c>
      <c r="F17" s="1">
        <v>883</v>
      </c>
      <c r="I17" s="1">
        <v>743</v>
      </c>
      <c r="J17" s="1">
        <v>689</v>
      </c>
      <c r="K17" s="1">
        <v>321</v>
      </c>
      <c r="M17" s="1">
        <f>R17+X17+AE17+AK17</f>
        <v>2611</v>
      </c>
      <c r="O17" s="43">
        <f>R23+R26+Q29+R32+R33+Q36+R41+W42+W41+X39+X38+X33+X30+X29+AC36+AC35+AB39+AK26+AK27+AK29+AK30+AL32+AL33+AK35+AK36+AK38+AK39</f>
        <v>14402</v>
      </c>
      <c r="Q17" s="310"/>
      <c r="R17" s="15">
        <f>H16</f>
        <v>858</v>
      </c>
      <c r="S17" s="15"/>
      <c r="T17" s="28"/>
      <c r="U17" s="308"/>
      <c r="V17" s="314"/>
      <c r="W17" s="314"/>
      <c r="X17" s="15">
        <f>I17</f>
        <v>743</v>
      </c>
      <c r="Y17" s="15"/>
      <c r="Z17" s="315"/>
      <c r="AA17" s="311"/>
      <c r="AB17" s="310"/>
      <c r="AC17" s="19"/>
      <c r="AD17" s="44"/>
      <c r="AE17" s="45">
        <f>J17</f>
        <v>689</v>
      </c>
      <c r="AF17" s="316" t="s">
        <v>15</v>
      </c>
      <c r="AG17" s="310"/>
      <c r="AH17" s="305"/>
      <c r="AJ17" s="46"/>
      <c r="AK17" s="1">
        <f>K17</f>
        <v>321</v>
      </c>
      <c r="AM17" s="47"/>
    </row>
    <row r="18" spans="1:41" ht="15" customHeight="1" x14ac:dyDescent="0.2">
      <c r="A18" s="1" t="s">
        <v>16</v>
      </c>
      <c r="J18" s="1">
        <v>458</v>
      </c>
      <c r="K18" s="1">
        <v>562</v>
      </c>
      <c r="M18" s="1">
        <f>AE18+AK18+Y19</f>
        <v>1474</v>
      </c>
      <c r="O18" s="48" t="s">
        <v>6</v>
      </c>
      <c r="Q18" s="310"/>
      <c r="R18" s="15"/>
      <c r="S18" s="15"/>
      <c r="T18" s="22"/>
      <c r="U18" s="308"/>
      <c r="V18" s="49"/>
      <c r="W18" s="50"/>
      <c r="X18" s="15"/>
      <c r="Y18" s="15"/>
      <c r="Z18" s="315"/>
      <c r="AA18" s="311"/>
      <c r="AB18" s="310"/>
      <c r="AC18" s="13"/>
      <c r="AD18" s="51"/>
      <c r="AE18" s="52">
        <f>J18</f>
        <v>458</v>
      </c>
      <c r="AF18" s="316"/>
      <c r="AG18" s="310"/>
      <c r="AH18" s="305"/>
      <c r="AK18" s="1">
        <f>K18</f>
        <v>562</v>
      </c>
    </row>
    <row r="19" spans="1:41" ht="15" customHeight="1" x14ac:dyDescent="0.2">
      <c r="I19" s="1">
        <v>454</v>
      </c>
      <c r="P19" s="311" t="s">
        <v>17</v>
      </c>
      <c r="Q19" s="38" t="s">
        <v>18</v>
      </c>
      <c r="R19" s="39"/>
      <c r="S19" s="39"/>
      <c r="T19" s="40"/>
      <c r="U19" s="308"/>
      <c r="V19" s="53"/>
      <c r="X19" s="15"/>
      <c r="Y19" s="50">
        <f>I19</f>
        <v>454</v>
      </c>
      <c r="Z19" s="42" t="s">
        <v>19</v>
      </c>
      <c r="AA19" s="311"/>
      <c r="AB19" s="304" t="s">
        <v>18</v>
      </c>
      <c r="AC19" s="304"/>
      <c r="AD19" s="304"/>
      <c r="AE19" s="304"/>
      <c r="AF19" s="304"/>
      <c r="AG19" s="304"/>
      <c r="AH19" s="305"/>
      <c r="AI19" s="304" t="s">
        <v>18</v>
      </c>
      <c r="AJ19" s="304"/>
      <c r="AK19" s="304"/>
      <c r="AL19" s="304"/>
      <c r="AM19" s="304"/>
      <c r="AN19" s="311" t="s">
        <v>20</v>
      </c>
      <c r="AO19" s="54"/>
    </row>
    <row r="20" spans="1:41" ht="15" customHeight="1" x14ac:dyDescent="0.2">
      <c r="B20" s="1">
        <f>H20-AO20</f>
        <v>354</v>
      </c>
      <c r="C20" s="1">
        <f>SUM(H20:H21)</f>
        <v>774</v>
      </c>
      <c r="D20" s="1">
        <f>SUM(I19:I21)</f>
        <v>1290</v>
      </c>
      <c r="E20" s="1">
        <f>SUM(J20:J21)</f>
        <v>933</v>
      </c>
      <c r="F20" s="1">
        <v>273</v>
      </c>
      <c r="H20" s="1">
        <v>354</v>
      </c>
      <c r="I20" s="1">
        <v>275</v>
      </c>
      <c r="J20" s="1">
        <v>309</v>
      </c>
      <c r="K20" s="1">
        <v>166</v>
      </c>
      <c r="M20" s="1">
        <f>R20+X20+AD20+AK20</f>
        <v>1104</v>
      </c>
      <c r="O20" s="317" t="s">
        <v>21</v>
      </c>
      <c r="P20" s="311"/>
      <c r="Q20" s="310"/>
      <c r="R20" s="15">
        <f>H20</f>
        <v>354</v>
      </c>
      <c r="S20" s="15"/>
      <c r="T20" s="22"/>
      <c r="U20" s="308"/>
      <c r="V20" s="49"/>
      <c r="W20" s="33"/>
      <c r="X20" s="33">
        <f>I20</f>
        <v>275</v>
      </c>
      <c r="Y20" s="33"/>
      <c r="Z20" s="318"/>
      <c r="AA20" s="311"/>
      <c r="AB20" s="55"/>
      <c r="AD20" s="56">
        <f>J20</f>
        <v>309</v>
      </c>
      <c r="AE20" s="319"/>
      <c r="AF20" s="320"/>
      <c r="AG20" s="57"/>
      <c r="AH20" s="305"/>
      <c r="AI20" s="321"/>
      <c r="AK20" s="1">
        <f>K20</f>
        <v>166</v>
      </c>
      <c r="AL20" s="58"/>
      <c r="AM20" s="37"/>
      <c r="AN20" s="311"/>
    </row>
    <row r="21" spans="1:41" ht="15" customHeight="1" x14ac:dyDescent="0.2">
      <c r="B21" s="1">
        <f>H21-AO21</f>
        <v>420</v>
      </c>
      <c r="H21" s="1">
        <v>420</v>
      </c>
      <c r="I21" s="1">
        <v>561</v>
      </c>
      <c r="J21" s="1">
        <v>624</v>
      </c>
      <c r="K21" s="1">
        <v>107</v>
      </c>
      <c r="M21" s="1">
        <f>R21+X21+AD21+AK21</f>
        <v>1712</v>
      </c>
      <c r="O21" s="317"/>
      <c r="P21" s="311"/>
      <c r="Q21" s="310"/>
      <c r="R21" s="15">
        <f>H21</f>
        <v>420</v>
      </c>
      <c r="S21" s="15"/>
      <c r="T21" s="59"/>
      <c r="U21" s="308"/>
      <c r="V21" s="60"/>
      <c r="W21" s="61"/>
      <c r="X21" s="61">
        <f>I21</f>
        <v>561</v>
      </c>
      <c r="Y21" s="61"/>
      <c r="Z21" s="318"/>
      <c r="AA21" s="311"/>
      <c r="AB21" s="55"/>
      <c r="AC21" s="62"/>
      <c r="AD21" s="63">
        <f>J21</f>
        <v>624</v>
      </c>
      <c r="AE21" s="319"/>
      <c r="AF21" s="320"/>
      <c r="AG21" s="63"/>
      <c r="AH21" s="305"/>
      <c r="AI21" s="321"/>
      <c r="AJ21" s="58"/>
      <c r="AK21" s="1">
        <f>K21</f>
        <v>107</v>
      </c>
      <c r="AL21" s="58"/>
      <c r="AM21" s="37"/>
      <c r="AN21" s="311"/>
    </row>
    <row r="22" spans="1:41" ht="15" customHeight="1" x14ac:dyDescent="0.2">
      <c r="N22" s="64">
        <f>O8+O17</f>
        <v>32581</v>
      </c>
      <c r="O22" s="317"/>
      <c r="P22" s="311"/>
      <c r="Q22" s="322" t="s">
        <v>22</v>
      </c>
      <c r="R22" s="322"/>
      <c r="S22" s="322"/>
      <c r="T22" s="322"/>
      <c r="U22" s="65"/>
      <c r="V22" s="304" t="s">
        <v>22</v>
      </c>
      <c r="W22" s="304"/>
      <c r="X22" s="304"/>
      <c r="Y22" s="304"/>
      <c r="Z22" s="304"/>
      <c r="AA22" s="311"/>
      <c r="AB22" s="304" t="s">
        <v>22</v>
      </c>
      <c r="AC22" s="304"/>
      <c r="AD22" s="304"/>
      <c r="AE22" s="304"/>
      <c r="AF22" s="304"/>
      <c r="AG22" s="304"/>
      <c r="AH22" s="305"/>
      <c r="AI22" s="304" t="s">
        <v>22</v>
      </c>
      <c r="AJ22" s="304"/>
      <c r="AK22" s="304"/>
      <c r="AL22" s="304"/>
      <c r="AM22" s="304"/>
      <c r="AN22" s="311"/>
      <c r="AO22" s="54"/>
    </row>
    <row r="23" spans="1:41" ht="15" customHeight="1" x14ac:dyDescent="0.25">
      <c r="B23" s="1">
        <f>H23-AO23</f>
        <v>276</v>
      </c>
      <c r="C23" s="1">
        <f>SUM(H22:H23)</f>
        <v>276</v>
      </c>
      <c r="D23" s="1">
        <f>SUM(I22:I23)</f>
        <v>0</v>
      </c>
      <c r="E23" s="1">
        <f>SUM(J22:J23)</f>
        <v>345</v>
      </c>
      <c r="F23" s="1">
        <v>455</v>
      </c>
      <c r="H23" s="1">
        <v>276</v>
      </c>
      <c r="J23" s="1">
        <v>345</v>
      </c>
      <c r="K23" s="1">
        <v>455</v>
      </c>
      <c r="L23" s="303"/>
      <c r="M23" s="4">
        <f>R23+AB23+AL23</f>
        <v>1076</v>
      </c>
      <c r="N23" s="4"/>
      <c r="O23" s="2">
        <f>X26+AB23+AL24+AL23</f>
        <v>1510</v>
      </c>
      <c r="P23" s="311"/>
      <c r="Q23" s="323"/>
      <c r="R23" s="66">
        <f>H23</f>
        <v>276</v>
      </c>
      <c r="S23" s="66"/>
      <c r="T23" s="324"/>
      <c r="U23" s="65"/>
      <c r="V23" s="325"/>
      <c r="Z23" s="326"/>
      <c r="AA23" s="311"/>
      <c r="AB23" s="1">
        <f>J23</f>
        <v>345</v>
      </c>
      <c r="AC23" s="32"/>
      <c r="AD23" s="67"/>
      <c r="AE23" s="68"/>
      <c r="AF23" s="68"/>
      <c r="AG23" s="68"/>
      <c r="AH23" s="305"/>
      <c r="AI23" s="13"/>
      <c r="AJ23" s="69"/>
      <c r="AL23" s="70">
        <f>K23</f>
        <v>455</v>
      </c>
      <c r="AM23" s="37"/>
      <c r="AN23" s="311"/>
    </row>
    <row r="24" spans="1:41" ht="15" customHeight="1" x14ac:dyDescent="0.25">
      <c r="K24" s="1">
        <v>349</v>
      </c>
      <c r="L24" s="303"/>
      <c r="M24" s="4">
        <f>AL24</f>
        <v>349</v>
      </c>
      <c r="N24" s="4"/>
      <c r="O24" s="2" t="s">
        <v>23</v>
      </c>
      <c r="P24" s="311"/>
      <c r="Q24" s="323"/>
      <c r="R24" s="15"/>
      <c r="S24" s="15"/>
      <c r="T24" s="324"/>
      <c r="U24" s="65"/>
      <c r="V24" s="325"/>
      <c r="Z24" s="326"/>
      <c r="AA24" s="311"/>
      <c r="AB24" s="68"/>
      <c r="AC24" s="68"/>
      <c r="AD24" s="68"/>
      <c r="AE24" s="71"/>
      <c r="AF24" s="71"/>
      <c r="AG24" s="71"/>
      <c r="AH24" s="305"/>
      <c r="AI24" s="32"/>
      <c r="AK24" s="72"/>
      <c r="AL24" s="73">
        <f>K24</f>
        <v>349</v>
      </c>
      <c r="AM24" s="32"/>
      <c r="AN24" s="311"/>
      <c r="AO24" s="74"/>
    </row>
    <row r="25" spans="1:41" ht="15" customHeight="1" x14ac:dyDescent="0.2">
      <c r="L25" s="303"/>
      <c r="M25" s="4"/>
      <c r="N25" s="4"/>
      <c r="P25" s="311"/>
      <c r="Q25" s="327" t="s">
        <v>24</v>
      </c>
      <c r="R25" s="327"/>
      <c r="S25" s="327"/>
      <c r="T25" s="327"/>
      <c r="U25" s="65"/>
      <c r="V25" s="304" t="s">
        <v>24</v>
      </c>
      <c r="W25" s="304"/>
      <c r="X25" s="304"/>
      <c r="Y25" s="304"/>
      <c r="Z25" s="304"/>
      <c r="AA25" s="311"/>
      <c r="AB25" s="328"/>
      <c r="AC25" s="328"/>
      <c r="AD25" s="328"/>
      <c r="AE25" s="328"/>
      <c r="AF25" s="328"/>
      <c r="AG25" s="328"/>
      <c r="AH25" s="65"/>
      <c r="AI25" s="322" t="s">
        <v>24</v>
      </c>
      <c r="AJ25" s="322"/>
      <c r="AK25" s="322"/>
      <c r="AL25" s="322"/>
      <c r="AM25" s="322"/>
      <c r="AN25" s="311"/>
      <c r="AO25" s="54"/>
    </row>
    <row r="26" spans="1:41" ht="15" customHeight="1" x14ac:dyDescent="0.2">
      <c r="B26" s="1">
        <f>H26-AO26</f>
        <v>769</v>
      </c>
      <c r="C26" s="1">
        <f>SUM(H26:H27)</f>
        <v>769</v>
      </c>
      <c r="D26" s="1">
        <f>SUM(I26:I27)</f>
        <v>361</v>
      </c>
      <c r="F26" s="1">
        <v>958</v>
      </c>
      <c r="H26" s="1">
        <v>769</v>
      </c>
      <c r="I26" s="1">
        <v>361</v>
      </c>
      <c r="K26" s="1">
        <v>510</v>
      </c>
      <c r="L26" s="303"/>
      <c r="M26" s="4">
        <f>R26+X26+AK26</f>
        <v>1640</v>
      </c>
      <c r="N26" s="4"/>
      <c r="O26" s="329" t="s">
        <v>25</v>
      </c>
      <c r="P26" s="311"/>
      <c r="Q26" s="330"/>
      <c r="R26" s="15">
        <f>H26</f>
        <v>769</v>
      </c>
      <c r="S26" s="15"/>
      <c r="T26" s="330"/>
      <c r="U26" s="65"/>
      <c r="V26" s="76"/>
      <c r="W26" s="50"/>
      <c r="X26" s="1">
        <f>I26</f>
        <v>361</v>
      </c>
      <c r="Z26" s="77"/>
      <c r="AA26" s="311"/>
      <c r="AB26" s="71"/>
      <c r="AC26" s="71"/>
      <c r="AD26" s="71"/>
      <c r="AE26" s="71"/>
      <c r="AF26" s="71"/>
      <c r="AG26" s="71"/>
      <c r="AH26" s="65"/>
      <c r="AI26" s="331"/>
      <c r="AJ26" s="78"/>
      <c r="AK26" s="1">
        <f>K26</f>
        <v>510</v>
      </c>
      <c r="AL26" s="79"/>
      <c r="AM26" s="80"/>
      <c r="AN26" s="311"/>
    </row>
    <row r="27" spans="1:41" ht="15" customHeight="1" x14ac:dyDescent="0.2">
      <c r="K27" s="1">
        <v>448</v>
      </c>
      <c r="M27" s="1">
        <f>AK27</f>
        <v>448</v>
      </c>
      <c r="O27" s="329"/>
      <c r="P27" s="311"/>
      <c r="Q27" s="330"/>
      <c r="R27" s="15"/>
      <c r="S27" s="15"/>
      <c r="T27" s="330"/>
      <c r="U27" s="65"/>
      <c r="V27" s="81"/>
      <c r="W27" s="63"/>
      <c r="Z27" s="82"/>
      <c r="AA27" s="311"/>
      <c r="AB27" s="328" t="s">
        <v>26</v>
      </c>
      <c r="AC27" s="328"/>
      <c r="AD27" s="328"/>
      <c r="AE27" s="328"/>
      <c r="AF27" s="328"/>
      <c r="AG27" s="328"/>
      <c r="AH27" s="65"/>
      <c r="AI27" s="331"/>
      <c r="AK27" s="1">
        <f>K27</f>
        <v>448</v>
      </c>
      <c r="AN27" s="311"/>
      <c r="AO27" s="54"/>
    </row>
    <row r="28" spans="1:41" ht="15" customHeight="1" x14ac:dyDescent="0.2">
      <c r="O28" s="329"/>
      <c r="P28" s="311"/>
      <c r="Q28" s="304" t="s">
        <v>27</v>
      </c>
      <c r="R28" s="304"/>
      <c r="S28" s="304"/>
      <c r="T28" s="304"/>
      <c r="U28" s="65"/>
      <c r="V28" s="322" t="s">
        <v>27</v>
      </c>
      <c r="W28" s="322"/>
      <c r="X28" s="322"/>
      <c r="Y28" s="322"/>
      <c r="Z28" s="322"/>
      <c r="AA28" s="65"/>
      <c r="AB28" s="328"/>
      <c r="AC28" s="328"/>
      <c r="AD28" s="328"/>
      <c r="AE28" s="328"/>
      <c r="AF28" s="328"/>
      <c r="AG28" s="328"/>
      <c r="AH28" s="83"/>
      <c r="AI28" s="304" t="s">
        <v>27</v>
      </c>
      <c r="AJ28" s="304"/>
      <c r="AK28" s="304"/>
      <c r="AL28" s="304"/>
      <c r="AM28" s="304"/>
      <c r="AN28" s="311"/>
    </row>
    <row r="29" spans="1:41" ht="15" customHeight="1" x14ac:dyDescent="0.2">
      <c r="B29" s="1">
        <f>H29-AO29</f>
        <v>269</v>
      </c>
      <c r="C29" s="1">
        <f>SUM(H29:H30)</f>
        <v>269</v>
      </c>
      <c r="D29" s="1">
        <f>SUM(I29:I30)</f>
        <v>356</v>
      </c>
      <c r="F29" s="1">
        <v>751</v>
      </c>
      <c r="H29" s="1">
        <v>269</v>
      </c>
      <c r="I29" s="1">
        <v>192</v>
      </c>
      <c r="K29" s="1">
        <v>676</v>
      </c>
      <c r="M29" s="1">
        <f>X29+AK29</f>
        <v>868</v>
      </c>
      <c r="O29" s="2">
        <f>R20+R21+X20+X21+AD20+AD21+AK20+AK21</f>
        <v>2816</v>
      </c>
      <c r="P29" s="311"/>
      <c r="Q29" s="310">
        <f>H29</f>
        <v>269</v>
      </c>
      <c r="R29" s="15"/>
      <c r="S29" s="15"/>
      <c r="T29" s="332"/>
      <c r="U29" s="83"/>
      <c r="V29" s="333"/>
      <c r="W29" s="26"/>
      <c r="X29" s="26">
        <f>I29</f>
        <v>192</v>
      </c>
      <c r="Y29" s="84"/>
      <c r="Z29" s="85"/>
      <c r="AB29" s="71"/>
      <c r="AC29" s="71"/>
      <c r="AD29" s="71"/>
      <c r="AE29" s="71"/>
      <c r="AF29" s="71"/>
      <c r="AG29" s="71"/>
      <c r="AH29" s="83"/>
      <c r="AI29" s="334" t="s">
        <v>15</v>
      </c>
      <c r="AJ29" s="86"/>
      <c r="AK29" s="1">
        <f>K29</f>
        <v>676</v>
      </c>
      <c r="AL29" s="335"/>
      <c r="AM29" s="336"/>
      <c r="AN29" s="311"/>
    </row>
    <row r="30" spans="1:41" ht="15" customHeight="1" x14ac:dyDescent="0.2">
      <c r="I30" s="1">
        <v>164</v>
      </c>
      <c r="K30" s="1">
        <v>75</v>
      </c>
      <c r="M30" s="1">
        <f>Q29+X30+AK30</f>
        <v>508</v>
      </c>
      <c r="O30" s="329" t="s">
        <v>28</v>
      </c>
      <c r="P30" s="311"/>
      <c r="Q30" s="310"/>
      <c r="R30" s="15"/>
      <c r="S30" s="15"/>
      <c r="T30" s="332"/>
      <c r="U30" s="83"/>
      <c r="V30" s="333"/>
      <c r="W30" s="61"/>
      <c r="X30" s="61">
        <f>I30</f>
        <v>164</v>
      </c>
      <c r="Y30" s="33"/>
      <c r="Z30" s="87"/>
      <c r="AB30" s="71"/>
      <c r="AC30" s="71"/>
      <c r="AD30" s="71"/>
      <c r="AE30" s="71"/>
      <c r="AF30" s="71"/>
      <c r="AG30" s="71"/>
      <c r="AH30" s="83"/>
      <c r="AI30" s="334"/>
      <c r="AJ30" s="88"/>
      <c r="AK30" s="1">
        <f>K30</f>
        <v>75</v>
      </c>
      <c r="AL30" s="335"/>
      <c r="AM30" s="336"/>
      <c r="AN30" s="311"/>
    </row>
    <row r="31" spans="1:41" ht="15" customHeight="1" x14ac:dyDescent="0.2">
      <c r="O31" s="329"/>
      <c r="P31" s="311"/>
      <c r="Q31" s="304" t="s">
        <v>29</v>
      </c>
      <c r="R31" s="304"/>
      <c r="S31" s="304"/>
      <c r="T31" s="304"/>
      <c r="U31" s="83"/>
      <c r="V31" s="29"/>
      <c r="Z31" s="87"/>
      <c r="AB31" s="328"/>
      <c r="AC31" s="328"/>
      <c r="AD31" s="328"/>
      <c r="AE31" s="328"/>
      <c r="AF31" s="328"/>
      <c r="AG31" s="328"/>
      <c r="AH31" s="83"/>
      <c r="AI31" s="304" t="s">
        <v>29</v>
      </c>
      <c r="AJ31" s="304"/>
      <c r="AK31" s="304"/>
      <c r="AL31" s="304"/>
      <c r="AM31" s="304"/>
      <c r="AN31" s="311"/>
    </row>
    <row r="32" spans="1:41" ht="15" customHeight="1" x14ac:dyDescent="0.2">
      <c r="B32" s="1">
        <f>C32-AO32-AO33</f>
        <v>1468</v>
      </c>
      <c r="C32" s="1">
        <f>SUM(H32:H33)</f>
        <v>1468</v>
      </c>
      <c r="D32" s="1">
        <f>SUM(I32:I33)</f>
        <v>1080</v>
      </c>
      <c r="F32" s="1">
        <v>1188</v>
      </c>
      <c r="H32" s="1">
        <v>209</v>
      </c>
      <c r="K32" s="1">
        <v>490</v>
      </c>
      <c r="M32" s="1">
        <f>R32+AL32</f>
        <v>699</v>
      </c>
      <c r="O32" s="329"/>
      <c r="P32" s="311"/>
      <c r="Q32" s="310"/>
      <c r="R32" s="89">
        <f>H32</f>
        <v>209</v>
      </c>
      <c r="S32" s="89"/>
      <c r="T32" s="337"/>
      <c r="U32" s="83"/>
      <c r="V32" s="49"/>
      <c r="X32" s="4"/>
      <c r="Y32" s="4"/>
      <c r="Z32" s="87"/>
      <c r="AA32" s="90"/>
      <c r="AB32" s="71"/>
      <c r="AC32" s="71"/>
      <c r="AD32" s="71"/>
      <c r="AE32" s="71"/>
      <c r="AF32" s="71"/>
      <c r="AG32" s="71"/>
      <c r="AH32" s="83"/>
      <c r="AI32" s="62"/>
      <c r="AK32" s="334" t="s">
        <v>15</v>
      </c>
      <c r="AL32" s="56">
        <f>K32</f>
        <v>490</v>
      </c>
      <c r="AM32" s="310"/>
      <c r="AN32" s="311"/>
    </row>
    <row r="33" spans="2:41" ht="15" customHeight="1" x14ac:dyDescent="0.2">
      <c r="H33" s="1">
        <v>1259</v>
      </c>
      <c r="I33" s="1">
        <v>1080</v>
      </c>
      <c r="K33" s="1">
        <v>698</v>
      </c>
      <c r="M33" s="1">
        <f>R33+X33+AL33</f>
        <v>3037</v>
      </c>
      <c r="O33" s="329"/>
      <c r="P33" s="311"/>
      <c r="Q33" s="310"/>
      <c r="R33" s="15">
        <f>H33</f>
        <v>1259</v>
      </c>
      <c r="S33" s="15"/>
      <c r="T33" s="337"/>
      <c r="U33" s="83"/>
      <c r="V33" s="49"/>
      <c r="X33" s="4">
        <f>I33</f>
        <v>1080</v>
      </c>
      <c r="Y33" s="4"/>
      <c r="Z33" s="87"/>
      <c r="AA33" s="90"/>
      <c r="AB33" s="91"/>
      <c r="AC33" s="91"/>
      <c r="AD33" s="91"/>
      <c r="AE33" s="91"/>
      <c r="AF33" s="91"/>
      <c r="AG33" s="91"/>
      <c r="AH33" s="83"/>
      <c r="AJ33" s="92"/>
      <c r="AK33" s="334"/>
      <c r="AL33" s="63">
        <f>K33</f>
        <v>698</v>
      </c>
      <c r="AM33" s="310"/>
      <c r="AN33" s="311"/>
    </row>
    <row r="34" spans="2:41" ht="15" customHeight="1" x14ac:dyDescent="0.2">
      <c r="O34" s="329"/>
      <c r="P34" s="311"/>
      <c r="Q34" s="38" t="s">
        <v>30</v>
      </c>
      <c r="R34" s="39"/>
      <c r="S34" s="39"/>
      <c r="T34" s="337"/>
      <c r="U34" s="83"/>
      <c r="V34" s="49"/>
      <c r="X34" s="4"/>
      <c r="Y34" s="4"/>
      <c r="Z34" s="87"/>
      <c r="AA34" s="90"/>
      <c r="AB34" s="338" t="s">
        <v>30</v>
      </c>
      <c r="AC34" s="338"/>
      <c r="AD34" s="338"/>
      <c r="AE34" s="338"/>
      <c r="AF34" s="338"/>
      <c r="AG34" s="338"/>
      <c r="AH34" s="83"/>
      <c r="AI34" s="304" t="s">
        <v>30</v>
      </c>
      <c r="AJ34" s="304"/>
      <c r="AK34" s="304"/>
      <c r="AL34" s="304"/>
      <c r="AM34" s="304"/>
      <c r="AN34" s="311"/>
    </row>
    <row r="35" spans="2:41" ht="15" customHeight="1" x14ac:dyDescent="0.2">
      <c r="C35" s="1">
        <f>SUM(H35:H36)</f>
        <v>605</v>
      </c>
      <c r="D35" s="1">
        <f>SUM(I35:I36)</f>
        <v>0</v>
      </c>
      <c r="E35" s="1">
        <f>SUM(J35:J36)</f>
        <v>768</v>
      </c>
      <c r="F35" s="1">
        <v>574</v>
      </c>
      <c r="J35" s="1">
        <v>338</v>
      </c>
      <c r="K35" s="1">
        <v>278</v>
      </c>
      <c r="M35" s="1">
        <f>AC35+AK35</f>
        <v>616</v>
      </c>
      <c r="O35" s="2" t="s">
        <v>31</v>
      </c>
      <c r="P35" s="311"/>
      <c r="Q35" s="56"/>
      <c r="R35" s="32"/>
      <c r="S35" s="32"/>
      <c r="T35" s="337"/>
      <c r="U35" s="83"/>
      <c r="V35" s="49"/>
      <c r="X35" s="4"/>
      <c r="Y35" s="4"/>
      <c r="Z35" s="87"/>
      <c r="AA35" s="83"/>
      <c r="AC35" s="37">
        <f>J35</f>
        <v>338</v>
      </c>
      <c r="AD35" s="51"/>
      <c r="AE35" s="51"/>
      <c r="AF35" s="93"/>
      <c r="AG35" s="339"/>
      <c r="AH35" s="83"/>
      <c r="AK35" s="1">
        <f>K35</f>
        <v>278</v>
      </c>
      <c r="AL35" s="334" t="s">
        <v>15</v>
      </c>
      <c r="AM35" s="310"/>
      <c r="AN35" s="311"/>
    </row>
    <row r="36" spans="2:41" ht="15" customHeight="1" x14ac:dyDescent="0.2">
      <c r="B36" s="1">
        <f>H36-AO36</f>
        <v>605</v>
      </c>
      <c r="H36" s="1">
        <v>605</v>
      </c>
      <c r="J36" s="1">
        <f>'no addresses sums'!J36</f>
        <v>430</v>
      </c>
      <c r="K36" s="1">
        <v>296</v>
      </c>
      <c r="M36" s="1">
        <f>Q36+AC36+AK36</f>
        <v>1331</v>
      </c>
      <c r="O36" s="11">
        <f>O17+O23+O29</f>
        <v>18728</v>
      </c>
      <c r="P36" s="311"/>
      <c r="Q36" s="63">
        <f>H36</f>
        <v>605</v>
      </c>
      <c r="R36" s="15"/>
      <c r="S36" s="15"/>
      <c r="T36" s="37"/>
      <c r="U36" s="83"/>
      <c r="V36" s="94"/>
      <c r="W36" s="72" t="s">
        <v>32</v>
      </c>
      <c r="X36" s="72"/>
      <c r="Y36" s="72"/>
      <c r="Z36" s="95"/>
      <c r="AA36" s="83"/>
      <c r="AB36" s="6"/>
      <c r="AC36" s="96">
        <f>J36</f>
        <v>430</v>
      </c>
      <c r="AD36" s="97"/>
      <c r="AE36" s="51"/>
      <c r="AF36" s="51"/>
      <c r="AG36" s="339"/>
      <c r="AH36" s="83"/>
      <c r="AJ36" s="98"/>
      <c r="AK36" s="1">
        <f>K36</f>
        <v>296</v>
      </c>
      <c r="AL36" s="334"/>
      <c r="AM36" s="310"/>
      <c r="AN36" s="311"/>
    </row>
    <row r="37" spans="2:41" ht="15" customHeight="1" x14ac:dyDescent="0.2">
      <c r="O37" s="2" t="s">
        <v>33</v>
      </c>
      <c r="P37" s="311"/>
      <c r="Q37" s="304" t="s">
        <v>34</v>
      </c>
      <c r="R37" s="304"/>
      <c r="S37" s="304"/>
      <c r="T37" s="304"/>
      <c r="U37" s="83"/>
      <c r="V37" s="304" t="s">
        <v>34</v>
      </c>
      <c r="W37" s="304"/>
      <c r="X37" s="304"/>
      <c r="Y37" s="304"/>
      <c r="Z37" s="304"/>
      <c r="AA37" s="83"/>
      <c r="AB37" s="338"/>
      <c r="AC37" s="338"/>
      <c r="AD37" s="99"/>
      <c r="AE37" s="51"/>
      <c r="AF37" s="51"/>
      <c r="AG37" s="339"/>
      <c r="AH37" s="83"/>
      <c r="AI37" s="304" t="s">
        <v>34</v>
      </c>
      <c r="AJ37" s="304"/>
      <c r="AK37" s="304"/>
      <c r="AL37" s="304"/>
      <c r="AM37" s="304"/>
      <c r="AN37" s="311"/>
    </row>
    <row r="38" spans="2:41" ht="15" customHeight="1" x14ac:dyDescent="0.2">
      <c r="B38" s="1">
        <f>H38-AO38</f>
        <v>616</v>
      </c>
      <c r="C38" s="1">
        <f>SUM(H38:H39)</f>
        <v>616</v>
      </c>
      <c r="D38" s="1">
        <f>SUM(I38:I39)</f>
        <v>447</v>
      </c>
      <c r="E38" s="1">
        <f>SUM(J38:J39)</f>
        <v>256</v>
      </c>
      <c r="F38" s="1">
        <v>642</v>
      </c>
      <c r="H38" s="1">
        <v>616</v>
      </c>
      <c r="I38" s="1">
        <v>328</v>
      </c>
      <c r="K38" s="1">
        <v>486</v>
      </c>
      <c r="M38" s="1">
        <f>X38+AK38</f>
        <v>814</v>
      </c>
      <c r="O38" s="11">
        <f>O8-O29-O23</f>
        <v>13853</v>
      </c>
      <c r="P38" s="311"/>
      <c r="Q38" s="29"/>
      <c r="R38" s="26"/>
      <c r="S38" s="26"/>
      <c r="T38" s="100"/>
      <c r="U38" s="83"/>
      <c r="V38" s="46"/>
      <c r="W38" s="310"/>
      <c r="X38" s="1">
        <f>I38</f>
        <v>328</v>
      </c>
      <c r="Z38" s="340">
        <v>191</v>
      </c>
      <c r="AA38" s="83"/>
      <c r="AC38" s="51"/>
      <c r="AD38" s="51"/>
      <c r="AE38" s="51"/>
      <c r="AF38" s="51"/>
      <c r="AG38" s="341"/>
      <c r="AH38" s="83"/>
      <c r="AI38" s="309"/>
      <c r="AK38" s="26">
        <f>K38</f>
        <v>486</v>
      </c>
      <c r="AL38" s="92"/>
      <c r="AM38" s="342"/>
      <c r="AN38" s="311"/>
    </row>
    <row r="39" spans="2:41" ht="15" customHeight="1" x14ac:dyDescent="0.25">
      <c r="I39" s="1">
        <v>119</v>
      </c>
      <c r="J39" s="1">
        <v>256</v>
      </c>
      <c r="K39" s="1">
        <v>156</v>
      </c>
      <c r="M39" s="1">
        <f>X39+AK39+AB39</f>
        <v>824</v>
      </c>
      <c r="O39" s="2" t="s">
        <v>35</v>
      </c>
      <c r="P39" s="311"/>
      <c r="Q39" s="101"/>
      <c r="R39" s="41"/>
      <c r="S39" s="41"/>
      <c r="T39" s="102">
        <v>342</v>
      </c>
      <c r="U39" s="83"/>
      <c r="V39" s="103"/>
      <c r="W39" s="310"/>
      <c r="X39" s="103">
        <f>+AB39+AK39</f>
        <v>412</v>
      </c>
      <c r="Y39" s="103"/>
      <c r="Z39" s="340"/>
      <c r="AA39" s="83"/>
      <c r="AB39" s="1">
        <f>J39</f>
        <v>256</v>
      </c>
      <c r="AC39" s="104"/>
      <c r="AD39" s="51"/>
      <c r="AE39" s="51"/>
      <c r="AF39" s="51"/>
      <c r="AG39" s="341"/>
      <c r="AH39" s="83"/>
      <c r="AI39" s="309"/>
      <c r="AJ39" s="92"/>
      <c r="AK39" s="105">
        <f>K39</f>
        <v>156</v>
      </c>
      <c r="AL39" s="72"/>
      <c r="AM39" s="342"/>
      <c r="AN39" s="311"/>
    </row>
    <row r="40" spans="2:41" ht="15" customHeight="1" x14ac:dyDescent="0.25">
      <c r="C40" s="106">
        <f>2500-C38-C41</f>
        <v>1519</v>
      </c>
      <c r="H40" s="106">
        <v>1519</v>
      </c>
      <c r="P40" s="311"/>
      <c r="Q40" s="101"/>
      <c r="S40" s="41"/>
      <c r="T40" s="87"/>
      <c r="U40" s="83"/>
      <c r="V40" s="304" t="s">
        <v>36</v>
      </c>
      <c r="W40" s="304"/>
      <c r="X40" s="304"/>
      <c r="Y40" s="304"/>
      <c r="Z40" s="304"/>
      <c r="AA40" s="83"/>
      <c r="AB40" s="304" t="s">
        <v>36</v>
      </c>
      <c r="AC40" s="304"/>
      <c r="AD40" s="304"/>
      <c r="AE40" s="304"/>
      <c r="AF40" s="304"/>
      <c r="AG40" s="304"/>
      <c r="AH40" s="83"/>
      <c r="AI40" s="304" t="s">
        <v>36</v>
      </c>
      <c r="AJ40" s="304"/>
      <c r="AK40" s="304"/>
      <c r="AL40" s="304"/>
      <c r="AM40" s="304"/>
      <c r="AN40" s="311"/>
      <c r="AO40" s="106"/>
    </row>
    <row r="41" spans="2:41" ht="15" customHeight="1" x14ac:dyDescent="0.2">
      <c r="B41" s="1">
        <f>H41-AO41</f>
        <v>365</v>
      </c>
      <c r="C41" s="1">
        <f>SUM(H41:H42)</f>
        <v>365</v>
      </c>
      <c r="D41" s="1">
        <f>SUM(I41:I42)</f>
        <v>1202</v>
      </c>
      <c r="E41" s="1">
        <f>SUM(J41:J42)</f>
        <v>0</v>
      </c>
      <c r="F41" s="1">
        <v>0</v>
      </c>
      <c r="H41" s="1">
        <v>365</v>
      </c>
      <c r="I41" s="1">
        <f>'no addresses sums'!S41:S42+'no addresses sums'!W41</f>
        <v>551</v>
      </c>
      <c r="M41" s="1">
        <f>R41+W41</f>
        <v>3051</v>
      </c>
      <c r="O41" s="2">
        <f>(O29+O23)*0.12</f>
        <v>519.12</v>
      </c>
      <c r="P41" s="311"/>
      <c r="Q41" s="49"/>
      <c r="R41" s="41">
        <v>2500</v>
      </c>
      <c r="S41" s="33"/>
      <c r="T41" s="107"/>
      <c r="U41" s="83"/>
      <c r="V41" s="310"/>
      <c r="W41" s="108">
        <f>I41</f>
        <v>551</v>
      </c>
      <c r="X41" s="335"/>
      <c r="Y41" s="108"/>
      <c r="Z41" s="108"/>
      <c r="AA41" s="65"/>
      <c r="AB41" s="343"/>
      <c r="AC41" s="109"/>
      <c r="AD41" s="72"/>
      <c r="AE41" s="110"/>
      <c r="AF41" s="110"/>
      <c r="AG41" s="110"/>
      <c r="AH41" s="83"/>
      <c r="AI41" s="110"/>
      <c r="AJ41" s="110"/>
      <c r="AK41" s="110"/>
      <c r="AL41" s="110"/>
      <c r="AM41" s="110"/>
      <c r="AN41" s="311"/>
    </row>
    <row r="42" spans="2:41" ht="15" customHeight="1" x14ac:dyDescent="0.25">
      <c r="I42" s="1">
        <f>'no addresses sums'!T42+'no addresses sums'!V42</f>
        <v>651</v>
      </c>
      <c r="M42" s="1">
        <f>W42</f>
        <v>651</v>
      </c>
      <c r="P42" s="311"/>
      <c r="Q42" s="94"/>
      <c r="R42" s="61"/>
      <c r="S42" s="61"/>
      <c r="T42" s="95"/>
      <c r="U42" s="83"/>
      <c r="V42" s="310"/>
      <c r="W42" s="111">
        <f>I42</f>
        <v>651</v>
      </c>
      <c r="X42" s="335"/>
      <c r="Y42" s="111"/>
      <c r="Z42" s="111"/>
      <c r="AA42" s="65"/>
      <c r="AB42" s="343"/>
      <c r="AC42" s="109"/>
      <c r="AD42" s="110"/>
      <c r="AE42" s="110"/>
      <c r="AF42" s="110"/>
      <c r="AG42" s="110"/>
      <c r="AH42" s="83"/>
      <c r="AI42" s="344" t="s">
        <v>37</v>
      </c>
      <c r="AJ42" s="344"/>
      <c r="AK42" s="344"/>
      <c r="AL42" s="344"/>
      <c r="AM42" s="112"/>
      <c r="AN42" s="311"/>
    </row>
    <row r="43" spans="2:41" ht="15" customHeight="1" x14ac:dyDescent="0.2">
      <c r="C43" s="1">
        <f>SUM(C6:C41)</f>
        <v>10622</v>
      </c>
      <c r="D43" s="1">
        <f>SUM(D6:D41)</f>
        <v>8147</v>
      </c>
      <c r="E43" s="1">
        <f>SUM(E6:E41)</f>
        <v>4911</v>
      </c>
      <c r="F43" s="1">
        <v>6250</v>
      </c>
      <c r="H43" s="1">
        <v>10622</v>
      </c>
      <c r="I43" s="1">
        <v>8456</v>
      </c>
      <c r="J43" s="1">
        <v>5570</v>
      </c>
      <c r="K43" s="1">
        <v>7554</v>
      </c>
      <c r="P43" s="311"/>
      <c r="Q43" s="322" t="s">
        <v>38</v>
      </c>
      <c r="R43" s="322"/>
      <c r="S43" s="322"/>
      <c r="T43" s="322"/>
      <c r="U43" s="83"/>
      <c r="V43" s="322" t="s">
        <v>38</v>
      </c>
      <c r="W43" s="322"/>
      <c r="X43" s="322"/>
      <c r="Y43" s="322"/>
      <c r="Z43" s="322"/>
      <c r="AA43" s="83"/>
      <c r="AB43" s="304" t="s">
        <v>38</v>
      </c>
      <c r="AC43" s="304"/>
      <c r="AD43" s="304"/>
      <c r="AE43" s="304"/>
      <c r="AF43" s="304"/>
      <c r="AG43" s="304"/>
      <c r="AH43" s="83"/>
      <c r="AI43" s="304" t="s">
        <v>38</v>
      </c>
      <c r="AJ43" s="304"/>
      <c r="AK43" s="304"/>
      <c r="AL43" s="304"/>
      <c r="AM43" s="304"/>
      <c r="AN43" s="311"/>
    </row>
    <row r="44" spans="2:41" ht="15" customHeight="1" x14ac:dyDescent="0.2">
      <c r="C44" s="1">
        <f>C43-AK43</f>
        <v>10622</v>
      </c>
      <c r="D44" s="1">
        <f>D43-AL43</f>
        <v>8147</v>
      </c>
      <c r="E44" s="1">
        <f>E43-AM43</f>
        <v>4911</v>
      </c>
      <c r="F44" s="1">
        <v>6250</v>
      </c>
      <c r="H44" s="1">
        <v>0</v>
      </c>
      <c r="I44" s="1">
        <v>0</v>
      </c>
      <c r="J44" s="1">
        <v>0</v>
      </c>
      <c r="K44" s="1">
        <v>0</v>
      </c>
      <c r="Q44" s="113"/>
      <c r="R44" s="113" t="s">
        <v>39</v>
      </c>
      <c r="S44" s="113"/>
      <c r="T44" s="113"/>
      <c r="V44" s="51"/>
      <c r="W44" s="51" t="s">
        <v>40</v>
      </c>
      <c r="X44" s="51"/>
      <c r="Y44" s="51"/>
      <c r="Z44" s="51"/>
    </row>
    <row r="46" spans="2:41" ht="15" x14ac:dyDescent="0.25">
      <c r="C46" s="1" t="s">
        <v>41</v>
      </c>
      <c r="H46" s="1" t="s">
        <v>41</v>
      </c>
      <c r="I46" s="3" t="s">
        <v>42</v>
      </c>
      <c r="M46" s="1">
        <f>SUM(M5:M45)</f>
        <v>32581</v>
      </c>
      <c r="S46" s="1">
        <f>R41+Q36+R33+R32+Q29+R26+R21+R20+R17+R14+R11+S9+S8+R23</f>
        <v>10622</v>
      </c>
      <c r="W46" s="1">
        <f>W42+W41+X39+X38+X33+X30+X29+X26+X21+X20+Y19+X17+X14+W11+X9+X8+X6</f>
        <v>8745</v>
      </c>
      <c r="AC46" s="1">
        <f>AB39+AC36+AC35+AB23+AD21+AD20+AE18+AE17+AF15+AF14+AE12+AE11</f>
        <v>5660</v>
      </c>
      <c r="AK46" s="1">
        <f>AK39+AK38+AK36+AK35+AL33+AL32+AK30+AK29+AK27+AK26+AL24+AL23+AK21+AK20+AK18+AK17+AK15+AK14+AK12+AK11</f>
        <v>7554</v>
      </c>
    </row>
    <row r="47" spans="2:41" x14ac:dyDescent="0.2">
      <c r="M47" s="1">
        <f>SUM(S46:AK46)</f>
        <v>32581</v>
      </c>
      <c r="AD47" s="1">
        <v>2000</v>
      </c>
      <c r="AE47" s="1">
        <v>2010</v>
      </c>
    </row>
    <row r="48" spans="2:41" ht="29.25" customHeight="1" x14ac:dyDescent="0.2">
      <c r="N48" s="303" t="s">
        <v>43</v>
      </c>
      <c r="O48" s="303"/>
      <c r="AE48" s="1" t="s">
        <v>44</v>
      </c>
      <c r="AF48" s="1" t="s">
        <v>45</v>
      </c>
      <c r="AG48" s="1" t="s">
        <v>46</v>
      </c>
      <c r="AH48" s="1" t="s">
        <v>47</v>
      </c>
    </row>
    <row r="49" spans="11:36" x14ac:dyDescent="0.2">
      <c r="M49" s="13" t="s">
        <v>48</v>
      </c>
      <c r="N49" s="13" t="s">
        <v>49</v>
      </c>
      <c r="O49" s="114" t="s">
        <v>50</v>
      </c>
      <c r="X49" s="1">
        <v>58</v>
      </c>
      <c r="Y49" s="1">
        <v>62</v>
      </c>
      <c r="Z49" s="1" t="s">
        <v>51</v>
      </c>
      <c r="AA49" s="1" t="s">
        <v>52</v>
      </c>
      <c r="AC49" s="1" t="s">
        <v>53</v>
      </c>
      <c r="AD49" s="115">
        <v>2969</v>
      </c>
      <c r="AE49" s="1">
        <v>3554</v>
      </c>
      <c r="AF49" s="116">
        <f t="shared" ref="AF49:AF55" si="0">AE49-AD49</f>
        <v>585</v>
      </c>
      <c r="AG49" s="1">
        <f>AB39+AC36+AC35+AK35+AK36+AK38+AK39</f>
        <v>2240</v>
      </c>
      <c r="AH49" s="1">
        <f t="shared" ref="AH49:AH55" si="1">AG49-AE49</f>
        <v>-1314</v>
      </c>
      <c r="AI49" s="1" t="s">
        <v>54</v>
      </c>
    </row>
    <row r="50" spans="11:36" x14ac:dyDescent="0.2">
      <c r="M50" s="1" t="s">
        <v>55</v>
      </c>
      <c r="N50" s="115">
        <f>X26+AB23+AL23+AL24</f>
        <v>1510</v>
      </c>
      <c r="O50" s="48">
        <f>R20+R21+X20+X21+AD20+AD21+AK20+AK21</f>
        <v>2816</v>
      </c>
      <c r="X50" s="1">
        <v>58</v>
      </c>
      <c r="Y50" s="1">
        <v>61</v>
      </c>
      <c r="Z50" s="1" t="s">
        <v>56</v>
      </c>
      <c r="AA50" s="1" t="s">
        <v>51</v>
      </c>
      <c r="AC50" s="1" t="s">
        <v>57</v>
      </c>
      <c r="AD50" s="115">
        <v>857</v>
      </c>
      <c r="AE50" s="1">
        <v>1718</v>
      </c>
      <c r="AF50" s="116">
        <f t="shared" si="0"/>
        <v>861</v>
      </c>
      <c r="AG50" s="1">
        <f>W42+W41+X39+X38</f>
        <v>1942</v>
      </c>
      <c r="AH50" s="1">
        <f t="shared" si="1"/>
        <v>224</v>
      </c>
      <c r="AI50" s="1" t="s">
        <v>58</v>
      </c>
    </row>
    <row r="51" spans="11:36" x14ac:dyDescent="0.2">
      <c r="K51" s="1">
        <v>199</v>
      </c>
      <c r="M51" s="116">
        <f>O8</f>
        <v>18179</v>
      </c>
      <c r="N51" s="116">
        <f>M51-N50</f>
        <v>16669</v>
      </c>
      <c r="O51" s="11">
        <f>N51-O50</f>
        <v>13853</v>
      </c>
      <c r="Q51" s="1">
        <f>M51/M53</f>
        <v>0.55796323010343452</v>
      </c>
      <c r="X51" s="1">
        <v>62</v>
      </c>
      <c r="Y51" s="1">
        <v>66</v>
      </c>
      <c r="Z51" s="1" t="s">
        <v>51</v>
      </c>
      <c r="AA51" s="1" t="s">
        <v>52</v>
      </c>
      <c r="AC51" s="1" t="s">
        <v>59</v>
      </c>
      <c r="AD51" s="115">
        <v>3831</v>
      </c>
      <c r="AE51" s="1">
        <v>4032</v>
      </c>
      <c r="AF51" s="116">
        <f t="shared" si="0"/>
        <v>201</v>
      </c>
      <c r="AG51" s="1">
        <f>AL33+AL32+AK30+AK29+AK27+AK26+AL24+AL23+AB23</f>
        <v>4046</v>
      </c>
      <c r="AH51" s="1">
        <f t="shared" si="1"/>
        <v>14</v>
      </c>
      <c r="AI51" s="1" t="s">
        <v>60</v>
      </c>
    </row>
    <row r="52" spans="11:36" x14ac:dyDescent="0.2">
      <c r="K52" s="37" t="s">
        <v>61</v>
      </c>
      <c r="M52" s="116">
        <f>O17</f>
        <v>14402</v>
      </c>
      <c r="N52" s="116">
        <f>M52+N50</f>
        <v>15912</v>
      </c>
      <c r="O52" s="11">
        <f>N52+O50</f>
        <v>18728</v>
      </c>
      <c r="Q52" s="1">
        <f>M52/M53</f>
        <v>0.44203676989656548</v>
      </c>
      <c r="X52" s="1">
        <v>58</v>
      </c>
      <c r="Y52" s="1">
        <v>66</v>
      </c>
      <c r="Z52" s="1" t="s">
        <v>62</v>
      </c>
      <c r="AA52" s="1" t="s">
        <v>51</v>
      </c>
      <c r="AB52" s="1">
        <v>-147</v>
      </c>
      <c r="AC52" s="1" t="s">
        <v>63</v>
      </c>
      <c r="AD52" s="115">
        <v>4185</v>
      </c>
      <c r="AE52" s="1">
        <v>4554</v>
      </c>
      <c r="AF52" s="116">
        <f t="shared" si="0"/>
        <v>369</v>
      </c>
      <c r="AG52" s="1">
        <f>R23+R26+Q29+R32+R33+Q36+X26+X29+X30+X33</f>
        <v>5184</v>
      </c>
      <c r="AH52" s="1">
        <f t="shared" si="1"/>
        <v>630</v>
      </c>
      <c r="AI52" s="1" t="s">
        <v>64</v>
      </c>
    </row>
    <row r="53" spans="11:36" ht="15" x14ac:dyDescent="0.25">
      <c r="K53" s="37" t="s">
        <v>65</v>
      </c>
      <c r="M53" s="117">
        <f>M52+M51</f>
        <v>32581</v>
      </c>
      <c r="N53" s="116"/>
      <c r="O53" s="11"/>
      <c r="X53" s="1">
        <v>66</v>
      </c>
      <c r="Y53" s="1">
        <v>70</v>
      </c>
      <c r="Z53" s="1" t="s">
        <v>51</v>
      </c>
      <c r="AA53" s="1" t="s">
        <v>52</v>
      </c>
      <c r="AC53" s="1" t="s">
        <v>66</v>
      </c>
      <c r="AD53" s="115">
        <v>6351</v>
      </c>
      <c r="AE53" s="1">
        <v>6146</v>
      </c>
      <c r="AF53" s="116">
        <f t="shared" si="0"/>
        <v>-205</v>
      </c>
      <c r="AG53" s="1">
        <f>AK21+AK20+AD21+AD20+AE18+AE17+AK18+AK17+AK15+AK14+AF15+AF14+AE12+AE11+AK12+AK11</f>
        <v>6928</v>
      </c>
      <c r="AH53" s="1">
        <f t="shared" si="1"/>
        <v>782</v>
      </c>
      <c r="AI53" s="1" t="s">
        <v>67</v>
      </c>
    </row>
    <row r="54" spans="11:36" x14ac:dyDescent="0.2">
      <c r="M54" s="116"/>
      <c r="X54" s="1">
        <v>66</v>
      </c>
      <c r="Y54" s="1">
        <v>70</v>
      </c>
      <c r="Z54" s="1" t="s">
        <v>62</v>
      </c>
      <c r="AA54" s="1" t="s">
        <v>51</v>
      </c>
      <c r="AC54" s="1" t="s">
        <v>68</v>
      </c>
      <c r="AD54" s="115">
        <v>4547</v>
      </c>
      <c r="AE54" s="1">
        <v>6186</v>
      </c>
      <c r="AF54" s="116">
        <f t="shared" si="0"/>
        <v>1639</v>
      </c>
      <c r="AG54" s="1">
        <f>R11+R14+R17+R20+R21+X21+X20+Y19+X17+X14+W11</f>
        <v>7041</v>
      </c>
      <c r="AH54" s="1">
        <f t="shared" si="1"/>
        <v>855</v>
      </c>
      <c r="AI54" s="1" t="s">
        <v>64</v>
      </c>
    </row>
    <row r="55" spans="11:36" x14ac:dyDescent="0.2">
      <c r="K55" s="118"/>
      <c r="L55" s="119"/>
      <c r="M55" s="120" t="s">
        <v>69</v>
      </c>
      <c r="N55" s="121" t="s">
        <v>70</v>
      </c>
      <c r="AD55" s="115">
        <v>40620</v>
      </c>
      <c r="AE55" s="1">
        <f>SUM(AE49:AE54)</f>
        <v>26190</v>
      </c>
      <c r="AF55" s="116">
        <f t="shared" si="0"/>
        <v>-14430</v>
      </c>
      <c r="AG55" s="1">
        <f>SUM(AG49:AG54)</f>
        <v>27381</v>
      </c>
      <c r="AH55" s="1">
        <f t="shared" si="1"/>
        <v>1191</v>
      </c>
    </row>
    <row r="56" spans="11:36" x14ac:dyDescent="0.2">
      <c r="K56" s="122">
        <v>199</v>
      </c>
      <c r="M56" s="1">
        <v>738</v>
      </c>
      <c r="N56" s="123">
        <f>M56/M$59</f>
        <v>0.35583413693346189</v>
      </c>
      <c r="Q56" s="124"/>
      <c r="R56" s="1" t="s">
        <v>71</v>
      </c>
      <c r="AC56" s="1">
        <v>2000</v>
      </c>
      <c r="AD56" s="1">
        <v>2010</v>
      </c>
      <c r="AG56" s="116">
        <f>AG55+R41+S8+S9+X9+X8+X6-O8-O17</f>
        <v>0</v>
      </c>
      <c r="AH56" s="1">
        <v>2000</v>
      </c>
      <c r="AI56" s="1">
        <v>2010</v>
      </c>
    </row>
    <row r="57" spans="11:36" x14ac:dyDescent="0.2">
      <c r="K57" s="122">
        <v>191</v>
      </c>
      <c r="M57" s="1">
        <v>644</v>
      </c>
      <c r="N57" s="123">
        <f>M57/M$59</f>
        <v>0.31051108968177432</v>
      </c>
      <c r="Q57" s="125"/>
      <c r="R57" s="1" t="s">
        <v>72</v>
      </c>
      <c r="AC57" s="1" t="s">
        <v>73</v>
      </c>
      <c r="AD57" s="1" t="s">
        <v>74</v>
      </c>
      <c r="AG57" s="1" t="s">
        <v>75</v>
      </c>
      <c r="AH57" s="1" t="s">
        <v>76</v>
      </c>
      <c r="AI57" s="1" t="s">
        <v>76</v>
      </c>
      <c r="AJ57" s="1" t="s">
        <v>77</v>
      </c>
    </row>
    <row r="58" spans="11:36" x14ac:dyDescent="0.2">
      <c r="K58" s="122">
        <v>342</v>
      </c>
      <c r="M58" s="1">
        <v>692</v>
      </c>
      <c r="N58" s="123">
        <f>M58/M$59</f>
        <v>0.33365477338476374</v>
      </c>
      <c r="Q58" s="126"/>
      <c r="R58" s="1" t="s">
        <v>78</v>
      </c>
      <c r="AC58" s="115">
        <v>798144</v>
      </c>
      <c r="AD58" s="115">
        <v>847090</v>
      </c>
      <c r="AH58" s="115">
        <v>1537195</v>
      </c>
      <c r="AI58" s="115">
        <v>1585873</v>
      </c>
      <c r="AJ58" s="115">
        <f t="shared" ref="AJ58:AJ65" si="2">AI58-AH58</f>
        <v>48678</v>
      </c>
    </row>
    <row r="59" spans="11:36" ht="15" x14ac:dyDescent="0.2">
      <c r="K59" s="122"/>
      <c r="M59" s="115">
        <f>SUM(M56:M58)</f>
        <v>2074</v>
      </c>
      <c r="N59" s="123">
        <f>M59/M$59</f>
        <v>1</v>
      </c>
      <c r="Q59" s="127"/>
      <c r="R59" s="1" t="s">
        <v>79</v>
      </c>
      <c r="AC59" s="115">
        <v>2969</v>
      </c>
      <c r="AD59" s="115">
        <v>3554</v>
      </c>
      <c r="AH59" s="115">
        <v>4411</v>
      </c>
      <c r="AI59" s="115">
        <v>5542</v>
      </c>
      <c r="AJ59" s="115">
        <f t="shared" si="2"/>
        <v>1131</v>
      </c>
    </row>
    <row r="60" spans="11:36" x14ac:dyDescent="0.2">
      <c r="K60" s="128" t="s">
        <v>80</v>
      </c>
      <c r="L60" s="129"/>
      <c r="M60" s="129"/>
      <c r="N60" s="130"/>
      <c r="Q60" s="131"/>
      <c r="R60" s="1" t="s">
        <v>81</v>
      </c>
      <c r="AC60" s="115">
        <v>857</v>
      </c>
      <c r="AD60" s="115">
        <v>1718</v>
      </c>
      <c r="AH60" s="115">
        <v>2231</v>
      </c>
      <c r="AI60" s="115">
        <v>2755</v>
      </c>
      <c r="AJ60" s="115">
        <f t="shared" si="2"/>
        <v>524</v>
      </c>
    </row>
    <row r="61" spans="11:36" x14ac:dyDescent="0.2">
      <c r="Q61" s="132"/>
      <c r="R61" s="1" t="s">
        <v>82</v>
      </c>
      <c r="AC61" s="115">
        <v>3831</v>
      </c>
      <c r="AD61" s="115">
        <v>4032</v>
      </c>
      <c r="AH61" s="115">
        <v>5956</v>
      </c>
      <c r="AI61" s="115">
        <v>5842</v>
      </c>
      <c r="AJ61" s="115">
        <f t="shared" si="2"/>
        <v>-114</v>
      </c>
    </row>
    <row r="62" spans="11:36" x14ac:dyDescent="0.2">
      <c r="Q62" s="133"/>
      <c r="R62" s="1" t="s">
        <v>83</v>
      </c>
      <c r="AC62" s="115">
        <v>4185</v>
      </c>
      <c r="AD62" s="115">
        <v>4554</v>
      </c>
      <c r="AH62" s="115">
        <v>7091</v>
      </c>
      <c r="AI62" s="115">
        <v>8306</v>
      </c>
      <c r="AJ62" s="115">
        <f t="shared" si="2"/>
        <v>1215</v>
      </c>
    </row>
    <row r="63" spans="11:36" x14ac:dyDescent="0.2">
      <c r="K63" s="1" t="s">
        <v>84</v>
      </c>
      <c r="Q63" s="71"/>
      <c r="R63" s="1" t="s">
        <v>85</v>
      </c>
      <c r="AC63" s="115">
        <v>6351</v>
      </c>
      <c r="AD63" s="115">
        <v>6146</v>
      </c>
      <c r="AH63" s="115">
        <v>9040</v>
      </c>
      <c r="AI63" s="115">
        <v>9320</v>
      </c>
      <c r="AJ63" s="115">
        <f t="shared" si="2"/>
        <v>280</v>
      </c>
    </row>
    <row r="64" spans="11:36" x14ac:dyDescent="0.2">
      <c r="M64" s="116">
        <f>N56*M$53</f>
        <v>11593.432015429122</v>
      </c>
      <c r="Q64" s="134"/>
      <c r="R64" s="1" t="s">
        <v>86</v>
      </c>
      <c r="AC64" s="115">
        <v>4547</v>
      </c>
      <c r="AD64" s="115">
        <v>6186</v>
      </c>
      <c r="AH64" s="115">
        <v>6256</v>
      </c>
      <c r="AI64" s="115">
        <v>9350</v>
      </c>
      <c r="AJ64" s="115">
        <f t="shared" si="2"/>
        <v>3094</v>
      </c>
    </row>
    <row r="65" spans="13:36" x14ac:dyDescent="0.2">
      <c r="M65" s="116">
        <f>N57*M$53</f>
        <v>10116.76181292189</v>
      </c>
      <c r="Q65" s="135"/>
      <c r="R65" s="1" t="s">
        <v>87</v>
      </c>
      <c r="AC65" s="115">
        <v>40620</v>
      </c>
      <c r="AD65" s="115">
        <v>39402</v>
      </c>
      <c r="AH65" s="115">
        <v>62206</v>
      </c>
      <c r="AI65" s="115">
        <v>60998</v>
      </c>
      <c r="AJ65" s="115">
        <f t="shared" si="2"/>
        <v>-1208</v>
      </c>
    </row>
    <row r="66" spans="13:36" x14ac:dyDescent="0.2">
      <c r="M66" s="116">
        <f>N58*M$53</f>
        <v>10870.806171648986</v>
      </c>
    </row>
    <row r="67" spans="13:36" x14ac:dyDescent="0.2">
      <c r="M67" s="116">
        <f>N59*M$53</f>
        <v>32581</v>
      </c>
    </row>
  </sheetData>
  <sheetProtection selectLockedCells="1" selectUnlockedCells="1"/>
  <mergeCells count="111">
    <mergeCell ref="N48:O48"/>
    <mergeCell ref="V41:V42"/>
    <mergeCell ref="X41:X42"/>
    <mergeCell ref="AB41:AB42"/>
    <mergeCell ref="AI42:AL42"/>
    <mergeCell ref="Q43:T43"/>
    <mergeCell ref="V43:Z43"/>
    <mergeCell ref="AB43:AG43"/>
    <mergeCell ref="AI43:AM43"/>
    <mergeCell ref="W38:W39"/>
    <mergeCell ref="Z38:Z39"/>
    <mergeCell ref="AG38:AG39"/>
    <mergeCell ref="AI38:AI39"/>
    <mergeCell ref="AM38:AM39"/>
    <mergeCell ref="V40:Z40"/>
    <mergeCell ref="AB40:AG40"/>
    <mergeCell ref="AI40:AM40"/>
    <mergeCell ref="AI34:AM34"/>
    <mergeCell ref="AG35:AG37"/>
    <mergeCell ref="AL35:AL36"/>
    <mergeCell ref="AM35:AM36"/>
    <mergeCell ref="Q37:T37"/>
    <mergeCell ref="V37:Z37"/>
    <mergeCell ref="AB37:AC37"/>
    <mergeCell ref="AI37:AM37"/>
    <mergeCell ref="O30:O34"/>
    <mergeCell ref="Q31:T31"/>
    <mergeCell ref="AB31:AD31"/>
    <mergeCell ref="AE31:AG31"/>
    <mergeCell ref="AI31:AM31"/>
    <mergeCell ref="Q32:Q33"/>
    <mergeCell ref="T32:T35"/>
    <mergeCell ref="AK32:AK33"/>
    <mergeCell ref="AM32:AM33"/>
    <mergeCell ref="AB34:AG34"/>
    <mergeCell ref="V28:Z28"/>
    <mergeCell ref="AB28:AD28"/>
    <mergeCell ref="AE28:AG28"/>
    <mergeCell ref="AI28:AM28"/>
    <mergeCell ref="Q29:Q30"/>
    <mergeCell ref="T29:T30"/>
    <mergeCell ref="V29:V30"/>
    <mergeCell ref="AI29:AI30"/>
    <mergeCell ref="AL29:AL30"/>
    <mergeCell ref="AM29:AM30"/>
    <mergeCell ref="V25:Z25"/>
    <mergeCell ref="AB25:AD25"/>
    <mergeCell ref="AE25:AG25"/>
    <mergeCell ref="AI25:AM25"/>
    <mergeCell ref="O26:O28"/>
    <mergeCell ref="Q26:Q27"/>
    <mergeCell ref="T26:T27"/>
    <mergeCell ref="AI26:AI27"/>
    <mergeCell ref="AB27:AG27"/>
    <mergeCell ref="Q28:T28"/>
    <mergeCell ref="Q22:T22"/>
    <mergeCell ref="V22:Z22"/>
    <mergeCell ref="AB22:AG22"/>
    <mergeCell ref="AI22:AM22"/>
    <mergeCell ref="L23:L26"/>
    <mergeCell ref="Q23:Q24"/>
    <mergeCell ref="T23:T24"/>
    <mergeCell ref="V23:V24"/>
    <mergeCell ref="Z23:Z24"/>
    <mergeCell ref="Q25:T25"/>
    <mergeCell ref="P19:P43"/>
    <mergeCell ref="AB19:AG19"/>
    <mergeCell ref="AI19:AM19"/>
    <mergeCell ref="AN19:AN43"/>
    <mergeCell ref="O20:O22"/>
    <mergeCell ref="Q20:Q21"/>
    <mergeCell ref="Z20:Z21"/>
    <mergeCell ref="AE20:AE21"/>
    <mergeCell ref="AF20:AF21"/>
    <mergeCell ref="AI20:AI21"/>
    <mergeCell ref="AI16:AM16"/>
    <mergeCell ref="Q17:Q18"/>
    <mergeCell ref="Z17:Z18"/>
    <mergeCell ref="AB17:AB18"/>
    <mergeCell ref="AF17:AF18"/>
    <mergeCell ref="AG17:AG18"/>
    <mergeCell ref="Q11:Q12"/>
    <mergeCell ref="V11:V12"/>
    <mergeCell ref="AB11:AB12"/>
    <mergeCell ref="AB13:AG13"/>
    <mergeCell ref="AI13:AM13"/>
    <mergeCell ref="Q14:Q15"/>
    <mergeCell ref="Z14:Z15"/>
    <mergeCell ref="AB14:AB15"/>
    <mergeCell ref="V15:W17"/>
    <mergeCell ref="AB16:AG16"/>
    <mergeCell ref="V7:Z7"/>
    <mergeCell ref="AB7:AG7"/>
    <mergeCell ref="AI7:AM7"/>
    <mergeCell ref="Q8:Q9"/>
    <mergeCell ref="Z8:Z9"/>
    <mergeCell ref="Q10:T10"/>
    <mergeCell ref="V10:Z10"/>
    <mergeCell ref="AA10:AA27"/>
    <mergeCell ref="AB10:AG10"/>
    <mergeCell ref="AI10:AM10"/>
    <mergeCell ref="L4:L6"/>
    <mergeCell ref="Q4:T4"/>
    <mergeCell ref="V4:Z4"/>
    <mergeCell ref="AB4:AG4"/>
    <mergeCell ref="AH4:AH24"/>
    <mergeCell ref="AI4:AM4"/>
    <mergeCell ref="R5:R6"/>
    <mergeCell ref="AM5:AM6"/>
    <mergeCell ref="Q7:T7"/>
    <mergeCell ref="U7:U21"/>
  </mergeCells>
  <printOptions horizontalCentered="1"/>
  <pageMargins left="0.2" right="0.2" top="0.25" bottom="0.25" header="0.51180555555555551" footer="0.51180555555555551"/>
  <pageSetup firstPageNumber="0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zoomScale="130" zoomScaleNormal="130" workbookViewId="0">
      <selection activeCell="C2" sqref="C2"/>
    </sheetView>
  </sheetViews>
  <sheetFormatPr defaultColWidth="11.5703125" defaultRowHeight="12.75" x14ac:dyDescent="0.2"/>
  <cols>
    <col min="3" max="3" width="27.5703125" customWidth="1"/>
  </cols>
  <sheetData>
    <row r="1" spans="1:3" x14ac:dyDescent="0.2">
      <c r="A1" t="s">
        <v>88</v>
      </c>
      <c r="B1" t="s">
        <v>89</v>
      </c>
      <c r="C1" t="s">
        <v>90</v>
      </c>
    </row>
    <row r="2" spans="1:3" x14ac:dyDescent="0.2">
      <c r="A2" t="s">
        <v>91</v>
      </c>
      <c r="B2" t="s">
        <v>92</v>
      </c>
      <c r="C2" t="s">
        <v>93</v>
      </c>
    </row>
    <row r="3" spans="1:3" x14ac:dyDescent="0.2">
      <c r="A3" t="s">
        <v>94</v>
      </c>
      <c r="B3" t="s">
        <v>95</v>
      </c>
      <c r="C3" s="136" t="s">
        <v>96</v>
      </c>
    </row>
    <row r="4" spans="1:3" x14ac:dyDescent="0.2">
      <c r="A4" t="s">
        <v>97</v>
      </c>
      <c r="B4" t="s">
        <v>98</v>
      </c>
      <c r="C4" s="137" t="s">
        <v>99</v>
      </c>
    </row>
    <row r="5" spans="1:3" ht="14.1" customHeight="1" x14ac:dyDescent="0.2">
      <c r="A5" t="s">
        <v>100</v>
      </c>
      <c r="B5" t="s">
        <v>101</v>
      </c>
      <c r="C5" s="137" t="s">
        <v>102</v>
      </c>
    </row>
    <row r="6" spans="1:3" x14ac:dyDescent="0.2">
      <c r="A6" t="s">
        <v>103</v>
      </c>
      <c r="B6" t="s">
        <v>104</v>
      </c>
      <c r="C6" s="136" t="s">
        <v>105</v>
      </c>
    </row>
    <row r="7" spans="1:3" x14ac:dyDescent="0.2">
      <c r="A7" t="s">
        <v>106</v>
      </c>
      <c r="B7" t="s">
        <v>107</v>
      </c>
      <c r="C7" t="s">
        <v>108</v>
      </c>
    </row>
  </sheetData>
  <sheetProtection selectLockedCells="1" selectUnlockedCells="1"/>
  <hyperlinks>
    <hyperlink ref="C3" r:id="rId1"/>
    <hyperlink ref="C6" r:id="rId2"/>
  </hyperlinks>
  <pageMargins left="0.78749999999999998" right="0.78749999999999998" top="1.0527777777777778" bottom="1.0527777777777778" header="0.78749999999999998" footer="0.78749999999999998"/>
  <pageSetup firstPageNumber="0" orientation="portrait" horizontalDpi="300" verticalDpi="300"/>
  <headerFooter alignWithMargins="0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AW65"/>
  <sheetViews>
    <sheetView topLeftCell="A18" zoomScale="130" zoomScaleNormal="130" workbookViewId="0">
      <selection activeCell="O57" sqref="O57"/>
    </sheetView>
  </sheetViews>
  <sheetFormatPr defaultColWidth="9.42578125" defaultRowHeight="12.75" x14ac:dyDescent="0.2"/>
  <cols>
    <col min="1" max="6" width="9.42578125" style="138"/>
    <col min="7" max="7" width="7" style="138" customWidth="1"/>
    <col min="8" max="9" width="10.140625" style="138" customWidth="1"/>
    <col min="10" max="10" width="7.28515625" style="138" customWidth="1"/>
    <col min="11" max="11" width="6.7109375" style="138" customWidth="1"/>
    <col min="12" max="12" width="3.5703125" style="138" customWidth="1"/>
    <col min="13" max="13" width="8.85546875" style="138" customWidth="1"/>
    <col min="14" max="15" width="12.5703125" style="138" customWidth="1"/>
    <col min="16" max="16" width="4.5703125" style="138" customWidth="1"/>
    <col min="17" max="18" width="5.140625" style="138" customWidth="1"/>
    <col min="19" max="19" width="6.7109375" style="138" customWidth="1"/>
    <col min="20" max="20" width="5.140625" style="138" customWidth="1"/>
    <col min="21" max="21" width="4.7109375" style="138" customWidth="1"/>
    <col min="22" max="22" width="9" style="138" customWidth="1"/>
    <col min="23" max="23" width="5.140625" style="138" customWidth="1"/>
    <col min="24" max="33" width="8.5703125" style="138" customWidth="1"/>
    <col min="34" max="34" width="11.7109375" style="138" customWidth="1"/>
    <col min="35" max="35" width="13.7109375" style="138" customWidth="1"/>
    <col min="36" max="36" width="8.5703125" style="138" customWidth="1"/>
    <col min="37" max="40" width="5.140625" style="138" customWidth="1"/>
    <col min="41" max="16384" width="9.42578125" style="138"/>
  </cols>
  <sheetData>
    <row r="3" spans="2:49" x14ac:dyDescent="0.2">
      <c r="AB3" s="139"/>
    </row>
    <row r="4" spans="2:49" ht="12.75" customHeight="1" x14ac:dyDescent="0.2">
      <c r="L4" s="345"/>
      <c r="M4" s="140"/>
      <c r="N4" s="140"/>
      <c r="O4" s="140"/>
      <c r="Q4" s="346" t="s">
        <v>1</v>
      </c>
      <c r="R4" s="346"/>
      <c r="S4" s="346"/>
      <c r="T4" s="346"/>
      <c r="V4" s="346" t="s">
        <v>1</v>
      </c>
      <c r="W4" s="346"/>
      <c r="X4" s="346"/>
      <c r="Y4" s="346"/>
      <c r="Z4" s="346"/>
      <c r="AA4" s="141"/>
      <c r="AB4" s="346" t="s">
        <v>1</v>
      </c>
      <c r="AC4" s="346"/>
      <c r="AD4" s="346"/>
      <c r="AE4" s="346"/>
      <c r="AF4" s="346"/>
      <c r="AG4" s="346"/>
      <c r="AH4" s="347" t="s">
        <v>2</v>
      </c>
      <c r="AI4" s="346" t="s">
        <v>1</v>
      </c>
      <c r="AJ4" s="346"/>
      <c r="AK4" s="346"/>
      <c r="AL4" s="346"/>
      <c r="AM4" s="346"/>
    </row>
    <row r="5" spans="2:49" x14ac:dyDescent="0.2">
      <c r="L5" s="345"/>
      <c r="M5" s="140"/>
      <c r="N5" s="140"/>
      <c r="O5" s="140"/>
      <c r="Q5" s="142"/>
      <c r="R5" s="348">
        <v>452</v>
      </c>
      <c r="S5" s="143"/>
      <c r="T5" s="142"/>
      <c r="V5" s="142"/>
      <c r="W5" s="142"/>
      <c r="X5" s="142">
        <v>452</v>
      </c>
      <c r="Y5" s="142"/>
      <c r="Z5" s="142"/>
      <c r="AA5" s="141"/>
      <c r="AB5" s="142"/>
      <c r="AC5" s="142"/>
      <c r="AD5" s="142"/>
      <c r="AE5" s="142"/>
      <c r="AF5" s="142"/>
      <c r="AG5" s="142"/>
      <c r="AH5" s="347"/>
      <c r="AI5" s="142"/>
      <c r="AJ5" s="142"/>
      <c r="AK5" s="142"/>
      <c r="AL5" s="142"/>
      <c r="AM5" s="349"/>
    </row>
    <row r="6" spans="2:49" x14ac:dyDescent="0.2">
      <c r="I6" s="138">
        <v>305</v>
      </c>
      <c r="L6" s="345"/>
      <c r="M6" s="140">
        <f>X6</f>
        <v>305</v>
      </c>
      <c r="N6" s="140"/>
      <c r="O6" s="140"/>
      <c r="Q6" s="142"/>
      <c r="R6" s="348"/>
      <c r="S6" s="143"/>
      <c r="T6" s="144"/>
      <c r="V6" s="141"/>
      <c r="W6" s="141"/>
      <c r="X6" s="141">
        <f>I6</f>
        <v>305</v>
      </c>
      <c r="Y6" s="141"/>
      <c r="Z6" s="145"/>
      <c r="AA6" s="141"/>
      <c r="AB6" s="142"/>
      <c r="AC6" s="142"/>
      <c r="AD6" s="142">
        <v>87</v>
      </c>
      <c r="AE6" s="142"/>
      <c r="AF6" s="142"/>
      <c r="AG6" s="142"/>
      <c r="AH6" s="347"/>
      <c r="AI6" s="142"/>
      <c r="AJ6" s="142"/>
      <c r="AK6" s="142"/>
      <c r="AL6" s="142"/>
      <c r="AM6" s="349"/>
    </row>
    <row r="7" spans="2:49" ht="15" customHeight="1" x14ac:dyDescent="0.2">
      <c r="O7" s="138" t="s">
        <v>3</v>
      </c>
      <c r="Q7" s="346" t="s">
        <v>4</v>
      </c>
      <c r="R7" s="346"/>
      <c r="S7" s="346"/>
      <c r="T7" s="346"/>
      <c r="U7" s="350" t="s">
        <v>5</v>
      </c>
      <c r="V7" s="346" t="s">
        <v>4</v>
      </c>
      <c r="W7" s="346"/>
      <c r="X7" s="346"/>
      <c r="Y7" s="346"/>
      <c r="Z7" s="346"/>
      <c r="AA7" s="141"/>
      <c r="AB7" s="346" t="s">
        <v>4</v>
      </c>
      <c r="AC7" s="346"/>
      <c r="AD7" s="346"/>
      <c r="AE7" s="346"/>
      <c r="AF7" s="346"/>
      <c r="AG7" s="346"/>
      <c r="AH7" s="347"/>
      <c r="AI7" s="346" t="s">
        <v>4</v>
      </c>
      <c r="AJ7" s="346"/>
      <c r="AK7" s="346"/>
      <c r="AL7" s="346"/>
      <c r="AM7" s="346"/>
    </row>
    <row r="8" spans="2:49" ht="15" customHeight="1" x14ac:dyDescent="0.2">
      <c r="B8" s="138">
        <f>H8-AO8</f>
        <v>552</v>
      </c>
      <c r="H8" s="138">
        <v>552</v>
      </c>
      <c r="I8" s="138">
        <v>371</v>
      </c>
      <c r="M8" s="138">
        <f>S8+X8</f>
        <v>923</v>
      </c>
      <c r="O8" s="146">
        <f>X6+S8+S9+X8+X9+R11+R14+R17+R20+R21+W11+X14+X17+Y19+X20+X21+W26+AE11+AE12+AF14+AF15+AE17+AE18+AD20+AD21+AB23+AL24+AL23+AK21+AK20+AK18+AK17+AK15+AK14+AK12+AK11</f>
        <v>18179</v>
      </c>
      <c r="Q8" s="351"/>
      <c r="R8" s="147"/>
      <c r="S8" s="138">
        <f>H8</f>
        <v>552</v>
      </c>
      <c r="T8" s="148"/>
      <c r="U8" s="350"/>
      <c r="V8" s="141"/>
      <c r="W8" s="141"/>
      <c r="X8" s="141">
        <f>I8</f>
        <v>371</v>
      </c>
      <c r="Y8" s="141"/>
      <c r="Z8" s="352"/>
      <c r="AA8" s="141"/>
      <c r="AB8" s="142"/>
      <c r="AC8" s="142"/>
      <c r="AD8" s="142"/>
      <c r="AE8" s="142"/>
      <c r="AF8" s="142"/>
      <c r="AG8" s="142"/>
      <c r="AH8" s="347"/>
      <c r="AI8" s="142"/>
      <c r="AJ8" s="142"/>
      <c r="AK8" s="142"/>
      <c r="AL8" s="142"/>
      <c r="AM8" s="142"/>
      <c r="AU8" s="138">
        <f>AE54</f>
        <v>6186</v>
      </c>
      <c r="AV8" s="138">
        <f>SUM(AQ11:AR21)</f>
        <v>0</v>
      </c>
      <c r="AW8" s="138">
        <f>AE53</f>
        <v>6146</v>
      </c>
    </row>
    <row r="9" spans="2:49" ht="15" customHeight="1" x14ac:dyDescent="0.2">
      <c r="B9" s="138">
        <f>H9-AO9</f>
        <v>698</v>
      </c>
      <c r="C9" s="138">
        <f>SUM(H8:H9)</f>
        <v>1250</v>
      </c>
      <c r="D9" s="138">
        <f>SUM(I8:I9)</f>
        <v>1145</v>
      </c>
      <c r="H9" s="138">
        <v>698</v>
      </c>
      <c r="I9" s="138">
        <v>774</v>
      </c>
      <c r="M9" s="138">
        <f>S9+X9</f>
        <v>1472</v>
      </c>
      <c r="O9" s="138" t="s">
        <v>6</v>
      </c>
      <c r="Q9" s="351"/>
      <c r="S9" s="138">
        <f>H9</f>
        <v>698</v>
      </c>
      <c r="U9" s="350"/>
      <c r="W9" s="140"/>
      <c r="X9" s="138">
        <f>I9</f>
        <v>774</v>
      </c>
      <c r="Z9" s="352"/>
      <c r="AB9" s="142"/>
      <c r="AC9" s="142"/>
      <c r="AD9" s="142">
        <v>87</v>
      </c>
      <c r="AE9" s="142"/>
      <c r="AF9" s="142"/>
      <c r="AG9" s="142"/>
      <c r="AH9" s="347"/>
      <c r="AI9" s="142"/>
      <c r="AJ9" s="142"/>
      <c r="AK9" s="149">
        <v>87</v>
      </c>
      <c r="AL9" s="142"/>
      <c r="AM9" s="142"/>
      <c r="AU9" s="138">
        <f>AT8-AU8</f>
        <v>-6186</v>
      </c>
      <c r="AW9" s="138">
        <f>AV8-AW8</f>
        <v>-6146</v>
      </c>
    </row>
    <row r="10" spans="2:49" ht="15" customHeight="1" x14ac:dyDescent="0.2">
      <c r="Q10" s="346" t="s">
        <v>7</v>
      </c>
      <c r="R10" s="346"/>
      <c r="S10" s="346"/>
      <c r="T10" s="346"/>
      <c r="U10" s="350"/>
      <c r="V10" s="346" t="s">
        <v>7</v>
      </c>
      <c r="W10" s="346"/>
      <c r="X10" s="346"/>
      <c r="Y10" s="346"/>
      <c r="Z10" s="346"/>
      <c r="AA10" s="353" t="s">
        <v>8</v>
      </c>
      <c r="AB10" s="346" t="s">
        <v>7</v>
      </c>
      <c r="AC10" s="346"/>
      <c r="AD10" s="346"/>
      <c r="AE10" s="346"/>
      <c r="AF10" s="346"/>
      <c r="AG10" s="346"/>
      <c r="AH10" s="347"/>
      <c r="AI10" s="346" t="s">
        <v>7</v>
      </c>
      <c r="AJ10" s="346"/>
      <c r="AK10" s="346"/>
      <c r="AL10" s="346"/>
      <c r="AM10" s="346"/>
    </row>
    <row r="11" spans="2:49" ht="15" customHeight="1" x14ac:dyDescent="0.2">
      <c r="B11" s="138">
        <f>H11-AO11</f>
        <v>905</v>
      </c>
      <c r="C11" s="138">
        <f>SUM(H10:H11)</f>
        <v>905</v>
      </c>
      <c r="D11" s="138">
        <f>SUM(I10:I11)</f>
        <v>587</v>
      </c>
      <c r="E11" s="138">
        <f>SUM(J10:J11)</f>
        <v>434</v>
      </c>
      <c r="F11" s="138">
        <v>212</v>
      </c>
      <c r="H11" s="138">
        <v>905</v>
      </c>
      <c r="I11" s="138">
        <v>587</v>
      </c>
      <c r="J11" s="138">
        <v>434</v>
      </c>
      <c r="K11" s="138">
        <v>212</v>
      </c>
      <c r="M11" s="138">
        <f>R11+W11+AE11+AK11</f>
        <v>2138</v>
      </c>
      <c r="Q11" s="352"/>
      <c r="R11" s="150">
        <f>H11</f>
        <v>905</v>
      </c>
      <c r="S11" s="150"/>
      <c r="T11" s="151"/>
      <c r="U11" s="350"/>
      <c r="V11" s="354"/>
      <c r="W11" s="138">
        <f>I11</f>
        <v>587</v>
      </c>
      <c r="Y11" s="152">
        <v>199</v>
      </c>
      <c r="Z11" s="153"/>
      <c r="AA11" s="353"/>
      <c r="AB11" s="352"/>
      <c r="AC11" s="154"/>
      <c r="AD11" s="155"/>
      <c r="AE11" s="154">
        <f>J11</f>
        <v>434</v>
      </c>
      <c r="AF11" s="154"/>
      <c r="AG11" s="154"/>
      <c r="AH11" s="347"/>
      <c r="AI11" s="154"/>
      <c r="AJ11" s="154"/>
      <c r="AK11" s="154">
        <f>K11</f>
        <v>212</v>
      </c>
      <c r="AL11" s="154"/>
      <c r="AM11" s="156"/>
    </row>
    <row r="12" spans="2:49" ht="15" customHeight="1" x14ac:dyDescent="0.2">
      <c r="J12" s="138">
        <v>500</v>
      </c>
      <c r="K12" s="138">
        <v>467</v>
      </c>
      <c r="M12" s="138">
        <f>AE12+AK12</f>
        <v>967</v>
      </c>
      <c r="Q12" s="352"/>
      <c r="R12" s="150"/>
      <c r="S12" s="150"/>
      <c r="T12" s="157"/>
      <c r="U12" s="350"/>
      <c r="V12" s="354"/>
      <c r="Z12" s="158"/>
      <c r="AA12" s="353"/>
      <c r="AB12" s="352"/>
      <c r="AE12" s="138">
        <f>J12</f>
        <v>500</v>
      </c>
      <c r="AH12" s="347"/>
      <c r="AK12" s="138">
        <f>K12</f>
        <v>467</v>
      </c>
    </row>
    <row r="13" spans="2:49" ht="15" customHeight="1" x14ac:dyDescent="0.2">
      <c r="Q13" s="159" t="s">
        <v>9</v>
      </c>
      <c r="T13" s="157"/>
      <c r="U13" s="350"/>
      <c r="V13" s="160"/>
      <c r="W13" s="161"/>
      <c r="X13" s="161"/>
      <c r="Y13" s="161"/>
      <c r="Z13" s="162" t="s">
        <v>9</v>
      </c>
      <c r="AA13" s="353"/>
      <c r="AB13" s="346" t="s">
        <v>9</v>
      </c>
      <c r="AC13" s="346"/>
      <c r="AD13" s="346"/>
      <c r="AE13" s="346"/>
      <c r="AF13" s="346"/>
      <c r="AG13" s="346"/>
      <c r="AH13" s="347"/>
      <c r="AI13" s="346" t="s">
        <v>9</v>
      </c>
      <c r="AJ13" s="346"/>
      <c r="AK13" s="346"/>
      <c r="AL13" s="346"/>
      <c r="AM13" s="346"/>
    </row>
    <row r="14" spans="2:49" ht="15" customHeight="1" x14ac:dyDescent="0.2">
      <c r="B14" s="138">
        <f>H14-AO14</f>
        <v>948</v>
      </c>
      <c r="C14" s="138">
        <f>SUM(H13:H14)</f>
        <v>948</v>
      </c>
      <c r="D14" s="138">
        <f>SUM(I13:I14)</f>
        <v>936</v>
      </c>
      <c r="E14" s="138">
        <f>SUM(J13:J14)</f>
        <v>1028</v>
      </c>
      <c r="F14" s="138">
        <v>314</v>
      </c>
      <c r="H14" s="138">
        <v>948</v>
      </c>
      <c r="I14" s="138">
        <v>936</v>
      </c>
      <c r="J14" s="138">
        <v>1028</v>
      </c>
      <c r="K14" s="138">
        <v>314</v>
      </c>
      <c r="M14" s="138">
        <f>R14+X14+AF14+AK14</f>
        <v>3226</v>
      </c>
      <c r="Q14" s="352"/>
      <c r="R14" s="150">
        <f>H14</f>
        <v>948</v>
      </c>
      <c r="S14" s="150"/>
      <c r="T14" s="163"/>
      <c r="U14" s="350"/>
      <c r="V14" s="164"/>
      <c r="W14" s="165"/>
      <c r="X14" s="165">
        <f>I14</f>
        <v>936</v>
      </c>
      <c r="Y14" s="165"/>
      <c r="Z14" s="355"/>
      <c r="AA14" s="353"/>
      <c r="AB14" s="352"/>
      <c r="AC14" s="166"/>
      <c r="AE14" s="167"/>
      <c r="AF14" s="138">
        <f>J14</f>
        <v>1028</v>
      </c>
      <c r="AH14" s="347"/>
      <c r="AK14" s="138">
        <f>K14</f>
        <v>314</v>
      </c>
    </row>
    <row r="15" spans="2:49" ht="15" customHeight="1" x14ac:dyDescent="0.2">
      <c r="J15" s="138">
        <v>249</v>
      </c>
      <c r="K15" s="138">
        <v>488</v>
      </c>
      <c r="M15" s="138">
        <f>R15+X15+AF15+AK15</f>
        <v>737</v>
      </c>
      <c r="Q15" s="352"/>
      <c r="R15" s="150"/>
      <c r="S15" s="150"/>
      <c r="T15" s="157"/>
      <c r="U15" s="350"/>
      <c r="V15" s="356" t="s">
        <v>10</v>
      </c>
      <c r="W15" s="356"/>
      <c r="X15" s="168"/>
      <c r="Y15" s="168"/>
      <c r="Z15" s="355"/>
      <c r="AA15" s="353"/>
      <c r="AB15" s="352"/>
      <c r="AC15" s="169" t="s">
        <v>11</v>
      </c>
      <c r="AD15" s="166"/>
      <c r="AF15" s="138">
        <f>J15</f>
        <v>249</v>
      </c>
      <c r="AG15" s="140"/>
      <c r="AH15" s="347"/>
      <c r="AK15" s="170">
        <f>K15</f>
        <v>488</v>
      </c>
      <c r="AL15" s="170"/>
      <c r="AM15" s="171"/>
    </row>
    <row r="16" spans="2:49" ht="15" customHeight="1" x14ac:dyDescent="0.2">
      <c r="H16" s="138">
        <v>858</v>
      </c>
      <c r="O16" s="138" t="s">
        <v>12</v>
      </c>
      <c r="Q16" s="172" t="s">
        <v>13</v>
      </c>
      <c r="R16" s="173"/>
      <c r="S16" s="173"/>
      <c r="T16" s="174"/>
      <c r="U16" s="350"/>
      <c r="V16" s="356"/>
      <c r="W16" s="356"/>
      <c r="X16" s="175"/>
      <c r="Y16" s="175"/>
      <c r="Z16" s="176" t="s">
        <v>14</v>
      </c>
      <c r="AA16" s="353"/>
      <c r="AB16" s="346" t="s">
        <v>13</v>
      </c>
      <c r="AC16" s="346"/>
      <c r="AD16" s="346"/>
      <c r="AE16" s="346"/>
      <c r="AF16" s="346"/>
      <c r="AG16" s="346"/>
      <c r="AH16" s="347"/>
      <c r="AI16" s="346" t="s">
        <v>13</v>
      </c>
      <c r="AJ16" s="346"/>
      <c r="AK16" s="346"/>
      <c r="AL16" s="346"/>
      <c r="AM16" s="346"/>
    </row>
    <row r="17" spans="1:41" ht="15" customHeight="1" x14ac:dyDescent="0.2">
      <c r="B17" s="138">
        <f>H16-AO17</f>
        <v>858</v>
      </c>
      <c r="C17" s="138">
        <f>SUM(H16:H17)</f>
        <v>858</v>
      </c>
      <c r="D17" s="138">
        <f>SUM(I16:I17)</f>
        <v>743</v>
      </c>
      <c r="E17" s="138">
        <f>SUM(J17:J18)</f>
        <v>1147</v>
      </c>
      <c r="F17" s="138">
        <v>883</v>
      </c>
      <c r="I17" s="138">
        <v>743</v>
      </c>
      <c r="J17" s="138">
        <v>689</v>
      </c>
      <c r="K17" s="138">
        <v>321</v>
      </c>
      <c r="M17" s="138">
        <f>R17+X17+AE17+AK17</f>
        <v>2611</v>
      </c>
      <c r="O17" s="177">
        <f>R23+R26+Q29+R32+R33+Q36+R41+W42+W41+X39+X38+X33+X30+X29+AC36+AC35+AB39+AK26+AK27+AK29+AK30+AL32+AL33+AK35+AK36+AK38+AK39</f>
        <v>14402</v>
      </c>
      <c r="Q17" s="352"/>
      <c r="R17" s="150">
        <f>H16</f>
        <v>858</v>
      </c>
      <c r="S17" s="150"/>
      <c r="T17" s="163"/>
      <c r="U17" s="350"/>
      <c r="V17" s="356"/>
      <c r="W17" s="356"/>
      <c r="X17" s="150">
        <f>I17</f>
        <v>743</v>
      </c>
      <c r="Y17" s="150"/>
      <c r="Z17" s="357"/>
      <c r="AA17" s="353"/>
      <c r="AB17" s="352"/>
      <c r="AC17" s="154"/>
      <c r="AD17" s="178"/>
      <c r="AE17" s="179">
        <f>J17</f>
        <v>689</v>
      </c>
      <c r="AF17" s="358" t="s">
        <v>15</v>
      </c>
      <c r="AG17" s="352"/>
      <c r="AH17" s="347"/>
      <c r="AJ17" s="180"/>
      <c r="AK17" s="138">
        <f>K17</f>
        <v>321</v>
      </c>
      <c r="AM17" s="181"/>
    </row>
    <row r="18" spans="1:41" ht="15" customHeight="1" x14ac:dyDescent="0.2">
      <c r="A18" s="138" t="s">
        <v>16</v>
      </c>
      <c r="J18" s="138">
        <v>458</v>
      </c>
      <c r="K18" s="138">
        <v>562</v>
      </c>
      <c r="M18" s="138">
        <f>AE18+AK18+Y19</f>
        <v>1474</v>
      </c>
      <c r="O18" s="182" t="s">
        <v>6</v>
      </c>
      <c r="Q18" s="352"/>
      <c r="R18" s="150"/>
      <c r="S18" s="150"/>
      <c r="T18" s="157"/>
      <c r="U18" s="350"/>
      <c r="V18" s="183"/>
      <c r="W18" s="184"/>
      <c r="X18" s="150"/>
      <c r="Y18" s="150"/>
      <c r="Z18" s="357"/>
      <c r="AA18" s="353"/>
      <c r="AB18" s="352"/>
      <c r="AC18" s="148"/>
      <c r="AD18" s="185"/>
      <c r="AE18" s="186">
        <f>J18</f>
        <v>458</v>
      </c>
      <c r="AF18" s="358"/>
      <c r="AG18" s="352"/>
      <c r="AH18" s="347"/>
      <c r="AK18" s="138">
        <f>K18</f>
        <v>562</v>
      </c>
    </row>
    <row r="19" spans="1:41" ht="15" customHeight="1" x14ac:dyDescent="0.2">
      <c r="I19" s="138">
        <v>454</v>
      </c>
      <c r="P19" s="353" t="s">
        <v>17</v>
      </c>
      <c r="Q19" s="172" t="s">
        <v>18</v>
      </c>
      <c r="R19" s="173"/>
      <c r="S19" s="173"/>
      <c r="T19" s="174"/>
      <c r="U19" s="350"/>
      <c r="V19" s="187"/>
      <c r="X19" s="150"/>
      <c r="Y19" s="184">
        <f>I19</f>
        <v>454</v>
      </c>
      <c r="Z19" s="176" t="s">
        <v>19</v>
      </c>
      <c r="AA19" s="353"/>
      <c r="AB19" s="346" t="s">
        <v>18</v>
      </c>
      <c r="AC19" s="346"/>
      <c r="AD19" s="346"/>
      <c r="AE19" s="346"/>
      <c r="AF19" s="346"/>
      <c r="AG19" s="346"/>
      <c r="AH19" s="347"/>
      <c r="AI19" s="346" t="s">
        <v>18</v>
      </c>
      <c r="AJ19" s="346"/>
      <c r="AK19" s="346"/>
      <c r="AL19" s="346"/>
      <c r="AM19" s="346"/>
      <c r="AN19" s="353" t="s">
        <v>20</v>
      </c>
      <c r="AO19" s="188"/>
    </row>
    <row r="20" spans="1:41" ht="15" customHeight="1" x14ac:dyDescent="0.2">
      <c r="B20" s="138">
        <f>H20-AO20</f>
        <v>354</v>
      </c>
      <c r="C20" s="138">
        <f>SUM(H20:H21)</f>
        <v>774</v>
      </c>
      <c r="D20" s="138">
        <f>SUM(I19:I21)</f>
        <v>1290</v>
      </c>
      <c r="E20" s="138">
        <f>SUM(J20:J21)</f>
        <v>933</v>
      </c>
      <c r="F20" s="138">
        <v>273</v>
      </c>
      <c r="H20" s="138">
        <v>354</v>
      </c>
      <c r="I20" s="138">
        <v>275</v>
      </c>
      <c r="J20" s="138">
        <v>309</v>
      </c>
      <c r="K20" s="138">
        <v>166</v>
      </c>
      <c r="M20" s="138">
        <f>R20+X20+AD20+AK20</f>
        <v>1104</v>
      </c>
      <c r="O20" s="359" t="s">
        <v>21</v>
      </c>
      <c r="P20" s="353"/>
      <c r="Q20" s="352"/>
      <c r="R20" s="150">
        <f>H20</f>
        <v>354</v>
      </c>
      <c r="S20" s="150"/>
      <c r="T20" s="157"/>
      <c r="U20" s="350"/>
      <c r="V20" s="183"/>
      <c r="W20" s="168"/>
      <c r="X20" s="168">
        <f>I20</f>
        <v>275</v>
      </c>
      <c r="Y20" s="168"/>
      <c r="Z20" s="360"/>
      <c r="AA20" s="353"/>
      <c r="AB20" s="189"/>
      <c r="AD20" s="190">
        <f>J20</f>
        <v>309</v>
      </c>
      <c r="AE20" s="361"/>
      <c r="AF20" s="352"/>
      <c r="AG20" s="190"/>
      <c r="AH20" s="347"/>
      <c r="AI20" s="362"/>
      <c r="AK20" s="138">
        <f>K20</f>
        <v>166</v>
      </c>
      <c r="AL20" s="191"/>
      <c r="AM20" s="171"/>
      <c r="AN20" s="353"/>
    </row>
    <row r="21" spans="1:41" ht="15" customHeight="1" x14ac:dyDescent="0.2">
      <c r="B21" s="138">
        <f>H21-AO21</f>
        <v>420</v>
      </c>
      <c r="H21" s="138">
        <v>420</v>
      </c>
      <c r="I21" s="138">
        <v>561</v>
      </c>
      <c r="J21" s="138">
        <v>624</v>
      </c>
      <c r="K21" s="138">
        <v>107</v>
      </c>
      <c r="M21" s="138">
        <f>R21+X21+AD21+AK21</f>
        <v>1712</v>
      </c>
      <c r="O21" s="359"/>
      <c r="P21" s="353"/>
      <c r="Q21" s="352"/>
      <c r="R21" s="150">
        <f>H21</f>
        <v>420</v>
      </c>
      <c r="S21" s="150"/>
      <c r="T21" s="192"/>
      <c r="U21" s="350"/>
      <c r="V21" s="193"/>
      <c r="W21" s="194"/>
      <c r="X21" s="194">
        <f>I21</f>
        <v>561</v>
      </c>
      <c r="Y21" s="194"/>
      <c r="Z21" s="360"/>
      <c r="AA21" s="353"/>
      <c r="AB21" s="189"/>
      <c r="AC21" s="195"/>
      <c r="AD21" s="196">
        <f>J21</f>
        <v>624</v>
      </c>
      <c r="AE21" s="361"/>
      <c r="AF21" s="352"/>
      <c r="AG21" s="196"/>
      <c r="AH21" s="347"/>
      <c r="AI21" s="362"/>
      <c r="AJ21" s="191"/>
      <c r="AK21" s="138">
        <f>K21</f>
        <v>107</v>
      </c>
      <c r="AL21" s="191"/>
      <c r="AM21" s="171"/>
      <c r="AN21" s="353"/>
    </row>
    <row r="22" spans="1:41" ht="15" customHeight="1" x14ac:dyDescent="0.2">
      <c r="N22" s="177">
        <f>O8+O17</f>
        <v>32581</v>
      </c>
      <c r="O22" s="359"/>
      <c r="P22" s="353"/>
      <c r="Q22" s="363" t="s">
        <v>22</v>
      </c>
      <c r="R22" s="363"/>
      <c r="S22" s="363"/>
      <c r="T22" s="363"/>
      <c r="U22" s="197"/>
      <c r="V22" s="346" t="s">
        <v>22</v>
      </c>
      <c r="W22" s="346"/>
      <c r="X22" s="346"/>
      <c r="Y22" s="346"/>
      <c r="Z22" s="346"/>
      <c r="AA22" s="353"/>
      <c r="AB22" s="346" t="s">
        <v>22</v>
      </c>
      <c r="AC22" s="346"/>
      <c r="AD22" s="346"/>
      <c r="AE22" s="346"/>
      <c r="AF22" s="346"/>
      <c r="AG22" s="346"/>
      <c r="AH22" s="347"/>
      <c r="AI22" s="346" t="s">
        <v>22</v>
      </c>
      <c r="AJ22" s="346"/>
      <c r="AK22" s="346"/>
      <c r="AL22" s="346"/>
      <c r="AM22" s="346"/>
      <c r="AN22" s="353"/>
      <c r="AO22" s="188"/>
    </row>
    <row r="23" spans="1:41" ht="15" customHeight="1" x14ac:dyDescent="0.2">
      <c r="B23" s="138">
        <f>H23-AO23</f>
        <v>276</v>
      </c>
      <c r="C23" s="138">
        <f>SUM(H22:H23)</f>
        <v>276</v>
      </c>
      <c r="D23" s="138">
        <f>SUM(I22:I23)</f>
        <v>0</v>
      </c>
      <c r="E23" s="138">
        <f>SUM(J22:J23)</f>
        <v>345</v>
      </c>
      <c r="F23" s="138">
        <v>455</v>
      </c>
      <c r="H23" s="138">
        <v>276</v>
      </c>
      <c r="J23" s="138">
        <v>345</v>
      </c>
      <c r="K23" s="138">
        <v>455</v>
      </c>
      <c r="L23" s="345"/>
      <c r="M23" s="140">
        <f>R23+AB23+AL23</f>
        <v>1076</v>
      </c>
      <c r="N23" s="140"/>
      <c r="O23" s="138">
        <f>W26+AB23+AL24+AL23</f>
        <v>1510</v>
      </c>
      <c r="P23" s="353"/>
      <c r="Q23" s="364"/>
      <c r="R23" s="198">
        <f>H23</f>
        <v>276</v>
      </c>
      <c r="S23" s="198"/>
      <c r="T23" s="365"/>
      <c r="U23" s="197"/>
      <c r="V23" s="366"/>
      <c r="X23" s="185"/>
      <c r="Y23" s="185"/>
      <c r="Z23" s="367"/>
      <c r="AA23" s="353"/>
      <c r="AB23" s="138">
        <f>J23</f>
        <v>345</v>
      </c>
      <c r="AC23" s="167"/>
      <c r="AD23" s="199"/>
      <c r="AE23" s="200" t="s">
        <v>26</v>
      </c>
      <c r="AF23" s="200"/>
      <c r="AG23" s="200"/>
      <c r="AH23" s="347"/>
      <c r="AI23" s="148"/>
      <c r="AJ23" s="201"/>
      <c r="AL23" s="202">
        <f>K23</f>
        <v>455</v>
      </c>
      <c r="AM23" s="171"/>
      <c r="AN23" s="353"/>
    </row>
    <row r="24" spans="1:41" ht="15" customHeight="1" x14ac:dyDescent="0.2">
      <c r="K24" s="138">
        <v>349</v>
      </c>
      <c r="L24" s="345"/>
      <c r="M24" s="140">
        <f>AL24</f>
        <v>349</v>
      </c>
      <c r="N24" s="140"/>
      <c r="O24" s="138" t="s">
        <v>23</v>
      </c>
      <c r="P24" s="353"/>
      <c r="Q24" s="364"/>
      <c r="R24" s="150"/>
      <c r="S24" s="150"/>
      <c r="T24" s="365"/>
      <c r="U24" s="197"/>
      <c r="V24" s="366"/>
      <c r="X24" s="185"/>
      <c r="Y24" s="185"/>
      <c r="Z24" s="367"/>
      <c r="AA24" s="353"/>
      <c r="AB24" s="200"/>
      <c r="AC24" s="200"/>
      <c r="AD24" s="200"/>
      <c r="AE24" s="203"/>
      <c r="AF24" s="203"/>
      <c r="AG24" s="203"/>
      <c r="AH24" s="347"/>
      <c r="AI24" s="167"/>
      <c r="AK24" s="204"/>
      <c r="AL24" s="205">
        <f>K24</f>
        <v>349</v>
      </c>
      <c r="AM24" s="167"/>
      <c r="AN24" s="353"/>
      <c r="AO24" s="206"/>
    </row>
    <row r="25" spans="1:41" ht="15" customHeight="1" x14ac:dyDescent="0.2">
      <c r="L25" s="345"/>
      <c r="M25" s="140"/>
      <c r="N25" s="140"/>
      <c r="P25" s="353"/>
      <c r="Q25" s="368" t="s">
        <v>24</v>
      </c>
      <c r="R25" s="368"/>
      <c r="S25" s="368"/>
      <c r="T25" s="368"/>
      <c r="U25" s="197"/>
      <c r="V25" s="346" t="s">
        <v>24</v>
      </c>
      <c r="W25" s="346"/>
      <c r="X25" s="346"/>
      <c r="Y25" s="346"/>
      <c r="Z25" s="346"/>
      <c r="AA25" s="353"/>
      <c r="AB25" s="207"/>
      <c r="AC25" s="207"/>
      <c r="AD25" s="207"/>
      <c r="AE25" s="369"/>
      <c r="AF25" s="369"/>
      <c r="AG25" s="369"/>
      <c r="AH25" s="197"/>
      <c r="AI25" s="363" t="s">
        <v>24</v>
      </c>
      <c r="AJ25" s="363"/>
      <c r="AK25" s="363"/>
      <c r="AL25" s="363"/>
      <c r="AM25" s="363"/>
      <c r="AN25" s="353"/>
      <c r="AO25" s="188"/>
    </row>
    <row r="26" spans="1:41" ht="15" customHeight="1" x14ac:dyDescent="0.2">
      <c r="B26" s="138">
        <f>H26-AO26</f>
        <v>769</v>
      </c>
      <c r="C26" s="138">
        <f>SUM(H26:H27)</f>
        <v>769</v>
      </c>
      <c r="D26" s="138">
        <f>SUM(I26:I27)</f>
        <v>361</v>
      </c>
      <c r="F26" s="138">
        <v>958</v>
      </c>
      <c r="H26" s="138">
        <v>769</v>
      </c>
      <c r="I26" s="138">
        <v>361</v>
      </c>
      <c r="K26" s="138">
        <v>510</v>
      </c>
      <c r="L26" s="345"/>
      <c r="M26" s="140">
        <f>R26+W26+AK26</f>
        <v>1640</v>
      </c>
      <c r="N26" s="140"/>
      <c r="O26" s="345" t="s">
        <v>25</v>
      </c>
      <c r="P26" s="353"/>
      <c r="Q26" s="370"/>
      <c r="R26" s="150">
        <f>H26</f>
        <v>769</v>
      </c>
      <c r="S26" s="150"/>
      <c r="T26" s="370"/>
      <c r="U26" s="197"/>
      <c r="V26" s="208"/>
      <c r="W26" s="138">
        <f>I26</f>
        <v>361</v>
      </c>
      <c r="X26" s="185"/>
      <c r="Y26" s="185"/>
      <c r="Z26" s="209"/>
      <c r="AA26" s="353"/>
      <c r="AB26" s="203"/>
      <c r="AC26" s="203"/>
      <c r="AD26" s="203"/>
      <c r="AE26" s="203"/>
      <c r="AF26" s="203"/>
      <c r="AG26" s="203"/>
      <c r="AH26" s="197"/>
      <c r="AI26" s="371"/>
      <c r="AJ26" s="210"/>
      <c r="AK26" s="138">
        <f>K26</f>
        <v>510</v>
      </c>
      <c r="AL26" s="211"/>
      <c r="AM26" s="178"/>
      <c r="AN26" s="353"/>
    </row>
    <row r="27" spans="1:41" ht="15" customHeight="1" x14ac:dyDescent="0.2">
      <c r="K27" s="138">
        <v>448</v>
      </c>
      <c r="M27" s="138">
        <f>AK27</f>
        <v>448</v>
      </c>
      <c r="O27" s="345"/>
      <c r="P27" s="353"/>
      <c r="Q27" s="370"/>
      <c r="R27" s="150"/>
      <c r="S27" s="150"/>
      <c r="T27" s="370"/>
      <c r="U27" s="197"/>
      <c r="V27" s="212"/>
      <c r="W27" s="196"/>
      <c r="X27" s="185"/>
      <c r="Y27" s="185"/>
      <c r="Z27" s="213"/>
      <c r="AA27" s="353"/>
      <c r="AB27" s="369"/>
      <c r="AC27" s="369"/>
      <c r="AD27" s="369"/>
      <c r="AE27" s="369"/>
      <c r="AF27" s="369"/>
      <c r="AG27" s="369"/>
      <c r="AH27" s="197"/>
      <c r="AI27" s="371"/>
      <c r="AK27" s="138">
        <f>K27</f>
        <v>448</v>
      </c>
      <c r="AN27" s="353"/>
      <c r="AO27" s="188"/>
    </row>
    <row r="28" spans="1:41" ht="15" customHeight="1" x14ac:dyDescent="0.2">
      <c r="O28" s="345"/>
      <c r="P28" s="353"/>
      <c r="Q28" s="346" t="s">
        <v>27</v>
      </c>
      <c r="R28" s="346"/>
      <c r="S28" s="346"/>
      <c r="T28" s="346"/>
      <c r="U28" s="197"/>
      <c r="V28" s="363" t="s">
        <v>27</v>
      </c>
      <c r="W28" s="363"/>
      <c r="X28" s="363"/>
      <c r="Y28" s="363"/>
      <c r="Z28" s="363"/>
      <c r="AA28" s="197"/>
      <c r="AB28" s="369"/>
      <c r="AC28" s="369"/>
      <c r="AD28" s="369"/>
      <c r="AE28" s="369"/>
      <c r="AF28" s="369"/>
      <c r="AG28" s="369"/>
      <c r="AH28" s="214"/>
      <c r="AI28" s="346" t="s">
        <v>27</v>
      </c>
      <c r="AJ28" s="346"/>
      <c r="AK28" s="346"/>
      <c r="AL28" s="346"/>
      <c r="AM28" s="346"/>
      <c r="AN28" s="353"/>
    </row>
    <row r="29" spans="1:41" ht="15" customHeight="1" x14ac:dyDescent="0.2">
      <c r="B29" s="138">
        <f>H29-AO29</f>
        <v>269</v>
      </c>
      <c r="C29" s="138">
        <f>SUM(H29:H30)</f>
        <v>269</v>
      </c>
      <c r="D29" s="138">
        <f>SUM(I29:I30)</f>
        <v>356</v>
      </c>
      <c r="F29" s="138">
        <v>751</v>
      </c>
      <c r="H29" s="138">
        <v>269</v>
      </c>
      <c r="I29" s="138">
        <v>192</v>
      </c>
      <c r="K29" s="138">
        <v>676</v>
      </c>
      <c r="M29" s="138">
        <f>X29+AK29</f>
        <v>868</v>
      </c>
      <c r="O29" s="138">
        <f>R20+R21+X20+X21+AD20+AD21+AK20+AK21</f>
        <v>2816</v>
      </c>
      <c r="P29" s="353"/>
      <c r="Q29" s="352">
        <f>H29</f>
        <v>269</v>
      </c>
      <c r="R29" s="150"/>
      <c r="S29" s="150"/>
      <c r="T29" s="372"/>
      <c r="U29" s="214"/>
      <c r="V29" s="373"/>
      <c r="W29" s="161"/>
      <c r="X29" s="161">
        <f>I29</f>
        <v>192</v>
      </c>
      <c r="Y29" s="215"/>
      <c r="Z29" s="216"/>
      <c r="AB29" s="203"/>
      <c r="AC29" s="203"/>
      <c r="AD29" s="203"/>
      <c r="AE29" s="203"/>
      <c r="AF29" s="203"/>
      <c r="AG29" s="203"/>
      <c r="AH29" s="214"/>
      <c r="AI29" s="374" t="s">
        <v>15</v>
      </c>
      <c r="AJ29" s="217"/>
      <c r="AK29" s="138">
        <f>K29</f>
        <v>676</v>
      </c>
      <c r="AL29" s="375"/>
      <c r="AM29" s="376"/>
      <c r="AN29" s="353"/>
    </row>
    <row r="30" spans="1:41" ht="15" customHeight="1" x14ac:dyDescent="0.2">
      <c r="I30" s="138">
        <v>164</v>
      </c>
      <c r="K30" s="138">
        <v>75</v>
      </c>
      <c r="M30" s="138">
        <f>Q29+X30+AK30</f>
        <v>508</v>
      </c>
      <c r="O30" s="345" t="s">
        <v>28</v>
      </c>
      <c r="P30" s="353"/>
      <c r="Q30" s="352"/>
      <c r="R30" s="150"/>
      <c r="S30" s="150"/>
      <c r="T30" s="372"/>
      <c r="U30" s="214"/>
      <c r="V30" s="373"/>
      <c r="W30" s="194"/>
      <c r="X30" s="194">
        <f>I30</f>
        <v>164</v>
      </c>
      <c r="Y30" s="168"/>
      <c r="Z30" s="218"/>
      <c r="AB30" s="203"/>
      <c r="AC30" s="203"/>
      <c r="AD30" s="203"/>
      <c r="AE30" s="203"/>
      <c r="AF30" s="203"/>
      <c r="AG30" s="203"/>
      <c r="AH30" s="214"/>
      <c r="AI30" s="374"/>
      <c r="AJ30" s="219"/>
      <c r="AK30" s="138">
        <f>K30</f>
        <v>75</v>
      </c>
      <c r="AL30" s="375"/>
      <c r="AM30" s="376"/>
      <c r="AN30" s="353"/>
    </row>
    <row r="31" spans="1:41" ht="15" customHeight="1" x14ac:dyDescent="0.2">
      <c r="O31" s="345"/>
      <c r="P31" s="353"/>
      <c r="Q31" s="346" t="s">
        <v>29</v>
      </c>
      <c r="R31" s="346"/>
      <c r="S31" s="346"/>
      <c r="T31" s="346"/>
      <c r="U31" s="214"/>
      <c r="V31" s="164"/>
      <c r="Z31" s="218"/>
      <c r="AB31" s="369"/>
      <c r="AC31" s="369"/>
      <c r="AD31" s="369"/>
      <c r="AE31" s="369"/>
      <c r="AF31" s="369"/>
      <c r="AG31" s="369"/>
      <c r="AH31" s="214"/>
      <c r="AI31" s="346" t="s">
        <v>29</v>
      </c>
      <c r="AJ31" s="346"/>
      <c r="AK31" s="346"/>
      <c r="AL31" s="346"/>
      <c r="AM31" s="346"/>
      <c r="AN31" s="353"/>
    </row>
    <row r="32" spans="1:41" ht="15" customHeight="1" x14ac:dyDescent="0.2">
      <c r="B32" s="138">
        <f>C32-AO32-AO33</f>
        <v>1468</v>
      </c>
      <c r="C32" s="138">
        <f>SUM(H32:H33)</f>
        <v>1468</v>
      </c>
      <c r="D32" s="138">
        <f>SUM(I32:I33)</f>
        <v>1080</v>
      </c>
      <c r="F32" s="138">
        <v>1188</v>
      </c>
      <c r="H32" s="138">
        <v>209</v>
      </c>
      <c r="K32" s="138">
        <v>490</v>
      </c>
      <c r="M32" s="138">
        <f>R32+AL32</f>
        <v>699</v>
      </c>
      <c r="O32" s="345"/>
      <c r="P32" s="353"/>
      <c r="Q32" s="352"/>
      <c r="R32" s="220">
        <f>H32</f>
        <v>209</v>
      </c>
      <c r="S32" s="220"/>
      <c r="T32" s="377"/>
      <c r="U32" s="214"/>
      <c r="V32" s="183"/>
      <c r="X32" s="140"/>
      <c r="Y32" s="140"/>
      <c r="Z32" s="218"/>
      <c r="AA32" s="221"/>
      <c r="AB32" s="203"/>
      <c r="AC32" s="203"/>
      <c r="AD32" s="203"/>
      <c r="AE32" s="203"/>
      <c r="AF32" s="203"/>
      <c r="AG32" s="203"/>
      <c r="AH32" s="214"/>
      <c r="AI32" s="195"/>
      <c r="AK32" s="374" t="s">
        <v>15</v>
      </c>
      <c r="AL32" s="190">
        <f>K32</f>
        <v>490</v>
      </c>
      <c r="AM32" s="352"/>
      <c r="AN32" s="353"/>
    </row>
    <row r="33" spans="2:41" ht="15" customHeight="1" x14ac:dyDescent="0.2">
      <c r="H33" s="138">
        <v>1259</v>
      </c>
      <c r="I33" s="138">
        <v>1080</v>
      </c>
      <c r="K33" s="138">
        <v>698</v>
      </c>
      <c r="M33" s="138">
        <f>R33+X33+AL33</f>
        <v>3037</v>
      </c>
      <c r="O33" s="345"/>
      <c r="P33" s="353"/>
      <c r="Q33" s="352"/>
      <c r="R33" s="150">
        <f>H33</f>
        <v>1259</v>
      </c>
      <c r="S33" s="150"/>
      <c r="T33" s="377"/>
      <c r="U33" s="214"/>
      <c r="V33" s="183"/>
      <c r="X33" s="140">
        <f>I33</f>
        <v>1080</v>
      </c>
      <c r="Y33" s="140"/>
      <c r="Z33" s="218"/>
      <c r="AA33" s="221"/>
      <c r="AB33" s="222"/>
      <c r="AC33" s="222"/>
      <c r="AD33" s="222"/>
      <c r="AE33" s="222"/>
      <c r="AF33" s="222"/>
      <c r="AG33" s="222"/>
      <c r="AH33" s="214"/>
      <c r="AJ33" s="223"/>
      <c r="AK33" s="374"/>
      <c r="AL33" s="196">
        <f>K33</f>
        <v>698</v>
      </c>
      <c r="AM33" s="352"/>
      <c r="AN33" s="353"/>
    </row>
    <row r="34" spans="2:41" ht="15" customHeight="1" x14ac:dyDescent="0.2">
      <c r="O34" s="345"/>
      <c r="P34" s="353"/>
      <c r="Q34" s="172" t="s">
        <v>30</v>
      </c>
      <c r="R34" s="173"/>
      <c r="S34" s="173"/>
      <c r="T34" s="377"/>
      <c r="U34" s="214"/>
      <c r="V34" s="183"/>
      <c r="X34" s="140"/>
      <c r="Y34" s="140"/>
      <c r="Z34" s="218"/>
      <c r="AA34" s="221"/>
      <c r="AB34" s="378" t="s">
        <v>30</v>
      </c>
      <c r="AC34" s="378"/>
      <c r="AD34" s="378"/>
      <c r="AE34" s="378"/>
      <c r="AF34" s="378"/>
      <c r="AG34" s="378"/>
      <c r="AH34" s="214"/>
      <c r="AI34" s="346" t="s">
        <v>30</v>
      </c>
      <c r="AJ34" s="346"/>
      <c r="AK34" s="346"/>
      <c r="AL34" s="346"/>
      <c r="AM34" s="346"/>
      <c r="AN34" s="353"/>
    </row>
    <row r="35" spans="2:41" ht="15" customHeight="1" x14ac:dyDescent="0.2">
      <c r="C35" s="138">
        <f>SUM(H35:H36)</f>
        <v>605</v>
      </c>
      <c r="D35" s="138">
        <f>SUM(I35:I36)</f>
        <v>0</v>
      </c>
      <c r="E35" s="138">
        <f>SUM(J35:J36)</f>
        <v>768</v>
      </c>
      <c r="F35" s="138">
        <v>574</v>
      </c>
      <c r="J35" s="138">
        <v>338</v>
      </c>
      <c r="K35" s="138">
        <v>278</v>
      </c>
      <c r="M35" s="138">
        <f>AC35+AK35</f>
        <v>616</v>
      </c>
      <c r="O35" s="138" t="s">
        <v>31</v>
      </c>
      <c r="P35" s="353"/>
      <c r="Q35" s="190"/>
      <c r="R35" s="167"/>
      <c r="S35" s="167"/>
      <c r="T35" s="377"/>
      <c r="U35" s="214"/>
      <c r="V35" s="183"/>
      <c r="X35" s="140"/>
      <c r="Y35" s="140"/>
      <c r="Z35" s="218"/>
      <c r="AA35" s="214"/>
      <c r="AC35" s="171">
        <f>J35</f>
        <v>338</v>
      </c>
      <c r="AD35" s="185"/>
      <c r="AE35" s="185"/>
      <c r="AF35" s="224"/>
      <c r="AG35" s="379"/>
      <c r="AH35" s="214"/>
      <c r="AK35" s="138">
        <f>K35</f>
        <v>278</v>
      </c>
      <c r="AL35" s="374" t="s">
        <v>15</v>
      </c>
      <c r="AM35" s="352"/>
      <c r="AN35" s="353"/>
    </row>
    <row r="36" spans="2:41" ht="15" customHeight="1" x14ac:dyDescent="0.2">
      <c r="B36" s="138">
        <f>H36-AO36</f>
        <v>605</v>
      </c>
      <c r="H36" s="138">
        <v>605</v>
      </c>
      <c r="J36" s="138">
        <f>'no addresses sums'!J36</f>
        <v>430</v>
      </c>
      <c r="K36" s="138">
        <v>296</v>
      </c>
      <c r="M36" s="138">
        <f>Q36+AC36+AK36</f>
        <v>1331</v>
      </c>
      <c r="O36" s="146">
        <f>O17+O23+O29</f>
        <v>18728</v>
      </c>
      <c r="P36" s="353"/>
      <c r="Q36" s="196">
        <f>H36</f>
        <v>605</v>
      </c>
      <c r="R36" s="150"/>
      <c r="S36" s="150"/>
      <c r="T36" s="171"/>
      <c r="U36" s="214"/>
      <c r="V36" s="225"/>
      <c r="W36" s="204" t="s">
        <v>32</v>
      </c>
      <c r="X36" s="204"/>
      <c r="Y36" s="204"/>
      <c r="Z36" s="226"/>
      <c r="AA36" s="214"/>
      <c r="AB36" s="141"/>
      <c r="AC36" s="227">
        <f>J36</f>
        <v>430</v>
      </c>
      <c r="AD36" s="228"/>
      <c r="AE36" s="185"/>
      <c r="AF36" s="185"/>
      <c r="AG36" s="379"/>
      <c r="AH36" s="214"/>
      <c r="AJ36" s="229"/>
      <c r="AK36" s="138">
        <f>K36</f>
        <v>296</v>
      </c>
      <c r="AL36" s="374"/>
      <c r="AM36" s="352"/>
      <c r="AN36" s="353"/>
    </row>
    <row r="37" spans="2:41" ht="15" customHeight="1" x14ac:dyDescent="0.2">
      <c r="O37" s="138" t="s">
        <v>33</v>
      </c>
      <c r="P37" s="353"/>
      <c r="Q37" s="346" t="s">
        <v>34</v>
      </c>
      <c r="R37" s="346"/>
      <c r="S37" s="346"/>
      <c r="T37" s="346"/>
      <c r="U37" s="214"/>
      <c r="V37" s="346" t="s">
        <v>34</v>
      </c>
      <c r="W37" s="346"/>
      <c r="X37" s="346"/>
      <c r="Y37" s="346"/>
      <c r="Z37" s="346"/>
      <c r="AA37" s="214"/>
      <c r="AB37" s="378"/>
      <c r="AC37" s="378"/>
      <c r="AD37" s="230"/>
      <c r="AE37" s="185"/>
      <c r="AF37" s="185"/>
      <c r="AG37" s="379"/>
      <c r="AH37" s="214"/>
      <c r="AI37" s="346" t="s">
        <v>34</v>
      </c>
      <c r="AJ37" s="346"/>
      <c r="AK37" s="346"/>
      <c r="AL37" s="346"/>
      <c r="AM37" s="346"/>
      <c r="AN37" s="353"/>
    </row>
    <row r="38" spans="2:41" ht="15" customHeight="1" x14ac:dyDescent="0.2">
      <c r="B38" s="138">
        <f>H38-AO38</f>
        <v>616</v>
      </c>
      <c r="C38" s="138">
        <f>SUM(H38:H39)</f>
        <v>616</v>
      </c>
      <c r="D38" s="138">
        <f>SUM(I38:I39)</f>
        <v>447</v>
      </c>
      <c r="E38" s="138">
        <f>SUM(J38:J39)</f>
        <v>256</v>
      </c>
      <c r="F38" s="138">
        <v>642</v>
      </c>
      <c r="H38" s="138">
        <v>616</v>
      </c>
      <c r="I38" s="138">
        <v>328</v>
      </c>
      <c r="K38" s="138">
        <v>486</v>
      </c>
      <c r="M38" s="138">
        <f>X38+AK38</f>
        <v>814</v>
      </c>
      <c r="O38" s="146">
        <f>O8-O29-O23</f>
        <v>13853</v>
      </c>
      <c r="P38" s="353"/>
      <c r="Q38" s="164"/>
      <c r="R38" s="161"/>
      <c r="S38" s="161"/>
      <c r="T38" s="231"/>
      <c r="U38" s="214"/>
      <c r="V38" s="180"/>
      <c r="W38" s="352"/>
      <c r="X38" s="138">
        <f>I38</f>
        <v>328</v>
      </c>
      <c r="Z38" s="380">
        <v>191</v>
      </c>
      <c r="AA38" s="214"/>
      <c r="AC38" s="185"/>
      <c r="AD38" s="185"/>
      <c r="AE38" s="185"/>
      <c r="AF38" s="185"/>
      <c r="AG38" s="381"/>
      <c r="AH38" s="214"/>
      <c r="AI38" s="351"/>
      <c r="AK38" s="161">
        <f>K38</f>
        <v>486</v>
      </c>
      <c r="AL38" s="223"/>
      <c r="AM38" s="382"/>
      <c r="AN38" s="353"/>
    </row>
    <row r="39" spans="2:41" ht="15" customHeight="1" x14ac:dyDescent="0.2">
      <c r="I39" s="138">
        <v>119</v>
      </c>
      <c r="J39" s="138">
        <v>256</v>
      </c>
      <c r="K39" s="138">
        <v>156</v>
      </c>
      <c r="M39" s="138">
        <f>X39+AK39+AB39</f>
        <v>824</v>
      </c>
      <c r="O39" s="138" t="s">
        <v>35</v>
      </c>
      <c r="P39" s="353"/>
      <c r="Q39" s="232"/>
      <c r="R39" s="175"/>
      <c r="S39" s="175"/>
      <c r="T39" s="233">
        <v>342</v>
      </c>
      <c r="U39" s="214"/>
      <c r="V39" s="234"/>
      <c r="W39" s="352"/>
      <c r="X39" s="234">
        <f>+AB39+AK39</f>
        <v>412</v>
      </c>
      <c r="Y39" s="234"/>
      <c r="Z39" s="380"/>
      <c r="AA39" s="214"/>
      <c r="AB39" s="138">
        <f>J39</f>
        <v>256</v>
      </c>
      <c r="AC39" s="235"/>
      <c r="AD39" s="185"/>
      <c r="AE39" s="185"/>
      <c r="AF39" s="185"/>
      <c r="AG39" s="381"/>
      <c r="AH39" s="214"/>
      <c r="AI39" s="351"/>
      <c r="AJ39" s="223"/>
      <c r="AK39" s="236">
        <f>K39</f>
        <v>156</v>
      </c>
      <c r="AL39" s="204"/>
      <c r="AM39" s="382"/>
      <c r="AN39" s="353"/>
    </row>
    <row r="40" spans="2:41" ht="15" customHeight="1" x14ac:dyDescent="0.2">
      <c r="C40" s="237">
        <f>2500-C38-C41</f>
        <v>1519</v>
      </c>
      <c r="H40" s="237">
        <v>1519</v>
      </c>
      <c r="P40" s="353"/>
      <c r="Q40" s="232"/>
      <c r="S40" s="175"/>
      <c r="T40" s="218"/>
      <c r="U40" s="214"/>
      <c r="V40" s="346" t="s">
        <v>36</v>
      </c>
      <c r="W40" s="346"/>
      <c r="X40" s="346"/>
      <c r="Y40" s="346"/>
      <c r="Z40" s="346"/>
      <c r="AA40" s="214"/>
      <c r="AB40" s="346" t="s">
        <v>36</v>
      </c>
      <c r="AC40" s="346"/>
      <c r="AD40" s="346"/>
      <c r="AE40" s="346"/>
      <c r="AF40" s="346"/>
      <c r="AG40" s="346"/>
      <c r="AH40" s="214"/>
      <c r="AI40" s="346" t="s">
        <v>36</v>
      </c>
      <c r="AJ40" s="346"/>
      <c r="AK40" s="346"/>
      <c r="AL40" s="346"/>
      <c r="AM40" s="346"/>
      <c r="AN40" s="353"/>
      <c r="AO40" s="237"/>
    </row>
    <row r="41" spans="2:41" ht="15" customHeight="1" x14ac:dyDescent="0.2">
      <c r="B41" s="138">
        <f>H41-AO41</f>
        <v>365</v>
      </c>
      <c r="C41" s="138">
        <f>SUM(H41:H42)</f>
        <v>365</v>
      </c>
      <c r="D41" s="138">
        <f>SUM(I41:I42)</f>
        <v>1202</v>
      </c>
      <c r="E41" s="138">
        <f>SUM(J41:J42)</f>
        <v>0</v>
      </c>
      <c r="F41" s="138">
        <v>0</v>
      </c>
      <c r="H41" s="138">
        <v>365</v>
      </c>
      <c r="I41" s="138">
        <f>'no addresses sums'!S41:S42+'no addresses sums'!W41</f>
        <v>551</v>
      </c>
      <c r="M41" s="138">
        <f>R41+W41</f>
        <v>3051</v>
      </c>
      <c r="O41" s="138">
        <f>(O29+O23)*0.12</f>
        <v>519.12</v>
      </c>
      <c r="P41" s="353"/>
      <c r="Q41" s="183"/>
      <c r="R41" s="175">
        <v>2500</v>
      </c>
      <c r="S41" s="168"/>
      <c r="T41" s="238"/>
      <c r="U41" s="214"/>
      <c r="V41" s="352"/>
      <c r="W41" s="239">
        <f>I41</f>
        <v>551</v>
      </c>
      <c r="X41" s="375"/>
      <c r="Y41" s="239"/>
      <c r="Z41" s="239"/>
      <c r="AA41" s="197"/>
      <c r="AB41" s="383"/>
      <c r="AC41" s="240"/>
      <c r="AD41" s="204"/>
      <c r="AE41" s="241"/>
      <c r="AF41" s="241"/>
      <c r="AG41" s="241"/>
      <c r="AH41" s="214"/>
      <c r="AI41" s="241"/>
      <c r="AJ41" s="241"/>
      <c r="AK41" s="241"/>
      <c r="AL41" s="241"/>
      <c r="AM41" s="241"/>
      <c r="AN41" s="353"/>
    </row>
    <row r="42" spans="2:41" ht="15" customHeight="1" x14ac:dyDescent="0.2">
      <c r="I42" s="138">
        <f>'no addresses sums'!T42+'no addresses sums'!V42</f>
        <v>651</v>
      </c>
      <c r="M42" s="138">
        <f>W42</f>
        <v>651</v>
      </c>
      <c r="P42" s="353"/>
      <c r="Q42" s="225"/>
      <c r="R42" s="194"/>
      <c r="S42" s="194"/>
      <c r="T42" s="226"/>
      <c r="U42" s="214"/>
      <c r="V42" s="352"/>
      <c r="W42" s="242">
        <f>I42</f>
        <v>651</v>
      </c>
      <c r="X42" s="375"/>
      <c r="Y42" s="242"/>
      <c r="Z42" s="242"/>
      <c r="AA42" s="197"/>
      <c r="AB42" s="383"/>
      <c r="AC42" s="240"/>
      <c r="AD42" s="241"/>
      <c r="AE42" s="241"/>
      <c r="AF42" s="241"/>
      <c r="AG42" s="241"/>
      <c r="AH42" s="214"/>
      <c r="AI42" s="384" t="s">
        <v>37</v>
      </c>
      <c r="AJ42" s="384"/>
      <c r="AK42" s="384"/>
      <c r="AL42" s="384"/>
      <c r="AM42" s="243"/>
      <c r="AN42" s="353"/>
    </row>
    <row r="43" spans="2:41" ht="15" customHeight="1" x14ac:dyDescent="0.2">
      <c r="C43" s="138">
        <f>SUM(C6:C41)</f>
        <v>10622</v>
      </c>
      <c r="D43" s="138">
        <f>SUM(D6:D41)</f>
        <v>8147</v>
      </c>
      <c r="E43" s="138">
        <f>SUM(E6:E41)</f>
        <v>4911</v>
      </c>
      <c r="F43" s="138">
        <v>6250</v>
      </c>
      <c r="H43" s="138">
        <v>10622</v>
      </c>
      <c r="I43" s="138">
        <v>8456</v>
      </c>
      <c r="J43" s="138">
        <v>5570</v>
      </c>
      <c r="K43" s="138">
        <v>7554</v>
      </c>
      <c r="P43" s="353"/>
      <c r="Q43" s="363" t="s">
        <v>38</v>
      </c>
      <c r="R43" s="363"/>
      <c r="S43" s="363"/>
      <c r="T43" s="363"/>
      <c r="U43" s="214"/>
      <c r="V43" s="363" t="s">
        <v>38</v>
      </c>
      <c r="W43" s="363"/>
      <c r="X43" s="363"/>
      <c r="Y43" s="363"/>
      <c r="Z43" s="363"/>
      <c r="AA43" s="214"/>
      <c r="AB43" s="346" t="s">
        <v>38</v>
      </c>
      <c r="AC43" s="346"/>
      <c r="AD43" s="346"/>
      <c r="AE43" s="346"/>
      <c r="AF43" s="346"/>
      <c r="AG43" s="346"/>
      <c r="AH43" s="214"/>
      <c r="AI43" s="346" t="s">
        <v>38</v>
      </c>
      <c r="AJ43" s="346"/>
      <c r="AK43" s="346"/>
      <c r="AL43" s="346"/>
      <c r="AM43" s="346"/>
      <c r="AN43" s="353"/>
    </row>
    <row r="44" spans="2:41" ht="15" customHeight="1" x14ac:dyDescent="0.2">
      <c r="C44" s="138">
        <f>C43-AK43</f>
        <v>10622</v>
      </c>
      <c r="D44" s="138">
        <f>D43-AL43</f>
        <v>8147</v>
      </c>
      <c r="E44" s="138">
        <f>E43-AM43</f>
        <v>4911</v>
      </c>
      <c r="F44" s="138">
        <v>6250</v>
      </c>
      <c r="H44" s="138">
        <v>0</v>
      </c>
      <c r="I44" s="138">
        <v>0</v>
      </c>
      <c r="J44" s="138">
        <v>0</v>
      </c>
      <c r="K44" s="138">
        <v>0</v>
      </c>
      <c r="Q44" s="244"/>
      <c r="R44" s="244" t="s">
        <v>39</v>
      </c>
      <c r="S44" s="244"/>
      <c r="T44" s="244"/>
      <c r="V44" s="185"/>
      <c r="W44" s="185" t="s">
        <v>40</v>
      </c>
      <c r="X44" s="185"/>
      <c r="Y44" s="185"/>
      <c r="Z44" s="185"/>
    </row>
    <row r="46" spans="2:41" x14ac:dyDescent="0.2">
      <c r="C46" s="138" t="s">
        <v>41</v>
      </c>
      <c r="H46" s="138" t="s">
        <v>41</v>
      </c>
      <c r="I46" s="139" t="s">
        <v>42</v>
      </c>
      <c r="M46" s="138">
        <f>SUM(M5:M45)</f>
        <v>32581</v>
      </c>
      <c r="S46" s="138">
        <f>R41+Q36+R33+R32+Q29+R26+R21+R20+R17+R14+R11+S9+S8+R23</f>
        <v>10622</v>
      </c>
      <c r="W46" s="138">
        <f>W42+W41+X39+X38+X33+X30+X29+W26+X21+X20+Y19+X17+X14+W11+X9+X8+X6</f>
        <v>8745</v>
      </c>
      <c r="AC46" s="138">
        <f>AB39+AC36+AC35+AB23+AD21+AD20+AE18+AE17+AF15+AF14+AE12+AE11</f>
        <v>5660</v>
      </c>
      <c r="AK46" s="138">
        <f>AK39+AK38+AK36+AK35+AL33+AL32+AK30+AK29+AK27+AK26+AL24+AL23+AK21+AK20+AK18+AK17+AK15+AK14+AK12+AK11</f>
        <v>7554</v>
      </c>
    </row>
    <row r="47" spans="2:41" x14ac:dyDescent="0.2">
      <c r="M47" s="138">
        <f>SUM(S46:AK46)</f>
        <v>32581</v>
      </c>
      <c r="AD47" s="138">
        <v>2000</v>
      </c>
      <c r="AE47" s="138">
        <v>2010</v>
      </c>
    </row>
    <row r="48" spans="2:41" x14ac:dyDescent="0.2">
      <c r="K48" s="245"/>
      <c r="L48" s="246"/>
      <c r="M48" s="246"/>
      <c r="N48" s="246" t="s">
        <v>109</v>
      </c>
      <c r="O48" s="247"/>
      <c r="AE48" s="138" t="s">
        <v>44</v>
      </c>
      <c r="AF48" s="138" t="s">
        <v>45</v>
      </c>
      <c r="AG48" s="138" t="s">
        <v>46</v>
      </c>
      <c r="AH48" s="138" t="s">
        <v>47</v>
      </c>
    </row>
    <row r="49" spans="11:36" x14ac:dyDescent="0.2">
      <c r="K49" s="248"/>
      <c r="L49" s="168"/>
      <c r="M49" s="168" t="s">
        <v>6</v>
      </c>
      <c r="N49" s="168">
        <v>66</v>
      </c>
      <c r="O49" s="249">
        <v>67</v>
      </c>
      <c r="X49" s="138">
        <v>58</v>
      </c>
      <c r="Y49" s="138">
        <v>62</v>
      </c>
      <c r="Z49" s="138" t="s">
        <v>51</v>
      </c>
      <c r="AA49" s="138" t="s">
        <v>52</v>
      </c>
      <c r="AC49" s="138" t="s">
        <v>53</v>
      </c>
      <c r="AD49" s="182">
        <v>2969</v>
      </c>
      <c r="AE49" s="138">
        <v>3554</v>
      </c>
      <c r="AF49" s="146">
        <f t="shared" ref="AF49:AF55" si="0">AE49-AD49</f>
        <v>585</v>
      </c>
      <c r="AG49" s="138">
        <f>AB39+AC36+AC35+AK35+AK36+AK38+AK39</f>
        <v>2240</v>
      </c>
      <c r="AH49" s="138">
        <f t="shared" ref="AH49:AH55" si="1">AG49-AE49</f>
        <v>-1314</v>
      </c>
      <c r="AI49" s="138" t="s">
        <v>54</v>
      </c>
    </row>
    <row r="50" spans="11:36" x14ac:dyDescent="0.2">
      <c r="K50" s="248"/>
      <c r="L50" s="168"/>
      <c r="M50" s="168" t="s">
        <v>55</v>
      </c>
      <c r="N50" s="168">
        <f>W26+AB23+AL23+AL24</f>
        <v>1510</v>
      </c>
      <c r="O50" s="249">
        <f>R20+R21+X20+X21+AD20+AD21+AK20+AK21</f>
        <v>2816</v>
      </c>
      <c r="X50" s="138">
        <v>58</v>
      </c>
      <c r="Y50" s="138">
        <v>61</v>
      </c>
      <c r="Z50" s="138" t="s">
        <v>56</v>
      </c>
      <c r="AA50" s="138" t="s">
        <v>51</v>
      </c>
      <c r="AC50" s="138" t="s">
        <v>57</v>
      </c>
      <c r="AD50" s="182">
        <v>857</v>
      </c>
      <c r="AE50" s="138">
        <v>1718</v>
      </c>
      <c r="AF50" s="146">
        <f t="shared" si="0"/>
        <v>861</v>
      </c>
      <c r="AG50" s="138">
        <f>W42+W41+X39+X38</f>
        <v>1942</v>
      </c>
      <c r="AH50" s="138">
        <f t="shared" si="1"/>
        <v>224</v>
      </c>
      <c r="AI50" s="138" t="s">
        <v>58</v>
      </c>
    </row>
    <row r="51" spans="11:36" x14ac:dyDescent="0.2">
      <c r="K51" s="248">
        <v>199</v>
      </c>
      <c r="L51" s="168"/>
      <c r="M51" s="250">
        <f>O8</f>
        <v>18179</v>
      </c>
      <c r="N51" s="250">
        <f>M51-N50</f>
        <v>16669</v>
      </c>
      <c r="O51" s="251">
        <f>N51-O50</f>
        <v>13853</v>
      </c>
      <c r="X51" s="138">
        <v>62</v>
      </c>
      <c r="Y51" s="138">
        <v>66</v>
      </c>
      <c r="Z51" s="138" t="s">
        <v>51</v>
      </c>
      <c r="AA51" s="138" t="s">
        <v>52</v>
      </c>
      <c r="AC51" s="138" t="s">
        <v>59</v>
      </c>
      <c r="AD51" s="182">
        <v>3831</v>
      </c>
      <c r="AE51" s="138">
        <v>4032</v>
      </c>
      <c r="AF51" s="146">
        <f t="shared" si="0"/>
        <v>201</v>
      </c>
      <c r="AG51" s="138">
        <f>AL33+AL32+AK30+AK29+AK27+AK26+AL24+AL23+AB23</f>
        <v>4046</v>
      </c>
      <c r="AH51" s="138">
        <f t="shared" si="1"/>
        <v>14</v>
      </c>
      <c r="AI51" s="138" t="s">
        <v>60</v>
      </c>
    </row>
    <row r="52" spans="11:36" x14ac:dyDescent="0.2">
      <c r="K52" s="248" t="s">
        <v>61</v>
      </c>
      <c r="L52" s="168"/>
      <c r="M52" s="250">
        <f>O17</f>
        <v>14402</v>
      </c>
      <c r="N52" s="250">
        <f>M52+N50</f>
        <v>15912</v>
      </c>
      <c r="O52" s="251">
        <f>N52+O50</f>
        <v>18728</v>
      </c>
      <c r="X52" s="138">
        <v>58</v>
      </c>
      <c r="Y52" s="138">
        <v>66</v>
      </c>
      <c r="Z52" s="138" t="s">
        <v>62</v>
      </c>
      <c r="AA52" s="138" t="s">
        <v>51</v>
      </c>
      <c r="AB52" s="138">
        <v>-147</v>
      </c>
      <c r="AC52" s="138" t="s">
        <v>63</v>
      </c>
      <c r="AD52" s="182">
        <v>4185</v>
      </c>
      <c r="AE52" s="138">
        <v>4554</v>
      </c>
      <c r="AF52" s="146">
        <f t="shared" si="0"/>
        <v>369</v>
      </c>
      <c r="AG52" s="138">
        <f>R23+R26+Q29+R32+R33+Q36+W26+X29+X30+X33</f>
        <v>5184</v>
      </c>
      <c r="AH52" s="138">
        <f t="shared" si="1"/>
        <v>630</v>
      </c>
      <c r="AI52" s="138" t="s">
        <v>64</v>
      </c>
    </row>
    <row r="53" spans="11:36" x14ac:dyDescent="0.2">
      <c r="K53" s="248" t="s">
        <v>65</v>
      </c>
      <c r="L53" s="168"/>
      <c r="M53" s="252">
        <f>M52+M51</f>
        <v>32581</v>
      </c>
      <c r="N53" s="250"/>
      <c r="O53" s="253">
        <f>O52+O51</f>
        <v>32581</v>
      </c>
      <c r="X53" s="138">
        <v>66</v>
      </c>
      <c r="Y53" s="138">
        <v>70</v>
      </c>
      <c r="Z53" s="138" t="s">
        <v>51</v>
      </c>
      <c r="AA53" s="138" t="s">
        <v>52</v>
      </c>
      <c r="AC53" s="138" t="s">
        <v>66</v>
      </c>
      <c r="AD53" s="182">
        <v>6351</v>
      </c>
      <c r="AE53" s="138">
        <v>6146</v>
      </c>
      <c r="AF53" s="146">
        <f t="shared" si="0"/>
        <v>-205</v>
      </c>
      <c r="AG53" s="138">
        <f>AK21+AK20+AD21+AD20+AE18+AE17+AK18+AK17+AK15+AK14+AF15+AF14+AE12+AE11+AK12+AK11</f>
        <v>6928</v>
      </c>
      <c r="AH53" s="138">
        <f t="shared" si="1"/>
        <v>782</v>
      </c>
      <c r="AI53" s="138" t="s">
        <v>67</v>
      </c>
    </row>
    <row r="54" spans="11:36" x14ac:dyDescent="0.2">
      <c r="K54" s="248">
        <v>199</v>
      </c>
      <c r="L54" s="168"/>
      <c r="M54" s="250">
        <f>M51*0.12</f>
        <v>2181.48</v>
      </c>
      <c r="N54" s="168"/>
      <c r="O54" s="254">
        <f>O51/O53</f>
        <v>0.42518645836530494</v>
      </c>
      <c r="X54" s="138">
        <v>66</v>
      </c>
      <c r="Y54" s="138">
        <v>70</v>
      </c>
      <c r="Z54" s="138" t="s">
        <v>62</v>
      </c>
      <c r="AA54" s="138" t="s">
        <v>51</v>
      </c>
      <c r="AC54" s="138" t="s">
        <v>68</v>
      </c>
      <c r="AD54" s="182">
        <v>4547</v>
      </c>
      <c r="AE54" s="138">
        <v>6186</v>
      </c>
      <c r="AF54" s="146">
        <f t="shared" si="0"/>
        <v>1639</v>
      </c>
      <c r="AG54" s="138">
        <f>R11+R14+R17+R20+R21+X21+X20+Y19+X17+X14+W11</f>
        <v>7041</v>
      </c>
      <c r="AH54" s="138">
        <f t="shared" si="1"/>
        <v>855</v>
      </c>
      <c r="AI54" s="138" t="s">
        <v>64</v>
      </c>
    </row>
    <row r="55" spans="11:36" x14ac:dyDescent="0.2">
      <c r="K55" s="248" t="s">
        <v>61</v>
      </c>
      <c r="L55" s="168"/>
      <c r="M55" s="250">
        <f>M52*0.12</f>
        <v>1728.24</v>
      </c>
      <c r="N55" s="168"/>
      <c r="O55" s="254">
        <f>O52/O53</f>
        <v>0.57481354163469511</v>
      </c>
      <c r="AD55" s="182">
        <v>40620</v>
      </c>
      <c r="AE55" s="138">
        <f>SUM(AE49:AE54)</f>
        <v>26190</v>
      </c>
      <c r="AF55" s="146">
        <f t="shared" si="0"/>
        <v>-14430</v>
      </c>
      <c r="AG55" s="138">
        <f>SUM(AG49:AG54)</f>
        <v>27381</v>
      </c>
      <c r="AH55" s="138">
        <f t="shared" si="1"/>
        <v>1191</v>
      </c>
    </row>
    <row r="56" spans="11:36" x14ac:dyDescent="0.2">
      <c r="K56" s="248"/>
      <c r="L56" s="168"/>
      <c r="M56" s="250"/>
      <c r="N56" s="168"/>
      <c r="O56" s="249"/>
      <c r="AC56" s="138">
        <v>2000</v>
      </c>
      <c r="AD56" s="138">
        <v>2010</v>
      </c>
      <c r="AG56" s="146">
        <f>AG55+R41+S8+S9+X9+X8+X6-O8-O17</f>
        <v>0</v>
      </c>
      <c r="AH56" s="138">
        <v>2000</v>
      </c>
      <c r="AI56" s="138">
        <v>2010</v>
      </c>
    </row>
    <row r="57" spans="11:36" x14ac:dyDescent="0.2">
      <c r="K57" s="248"/>
      <c r="L57" s="168"/>
      <c r="M57" s="168" t="s">
        <v>110</v>
      </c>
      <c r="N57" s="168" t="s">
        <v>111</v>
      </c>
      <c r="O57" s="249" t="s">
        <v>84</v>
      </c>
      <c r="AC57" s="138" t="s">
        <v>73</v>
      </c>
      <c r="AD57" s="138" t="s">
        <v>74</v>
      </c>
      <c r="AG57" s="138" t="s">
        <v>75</v>
      </c>
      <c r="AH57" s="138" t="s">
        <v>76</v>
      </c>
      <c r="AI57" s="138" t="s">
        <v>76</v>
      </c>
      <c r="AJ57" s="138" t="s">
        <v>77</v>
      </c>
    </row>
    <row r="58" spans="11:36" x14ac:dyDescent="0.2">
      <c r="K58" s="248">
        <v>199</v>
      </c>
      <c r="L58" s="168"/>
      <c r="M58" s="168">
        <v>738</v>
      </c>
      <c r="N58" s="255">
        <f>M58/M$61</f>
        <v>0.35583413693346189</v>
      </c>
      <c r="O58" s="251">
        <f>N58*M$53</f>
        <v>11593.432015429122</v>
      </c>
      <c r="AC58" s="182">
        <v>798144</v>
      </c>
      <c r="AD58" s="182">
        <v>847090</v>
      </c>
      <c r="AH58" s="182">
        <v>1537195</v>
      </c>
      <c r="AI58" s="182">
        <v>1585873</v>
      </c>
      <c r="AJ58" s="182">
        <f t="shared" ref="AJ58:AJ65" si="2">AI58-AH58</f>
        <v>48678</v>
      </c>
    </row>
    <row r="59" spans="11:36" x14ac:dyDescent="0.2">
      <c r="K59" s="248">
        <v>191</v>
      </c>
      <c r="L59" s="168"/>
      <c r="M59" s="168">
        <v>644</v>
      </c>
      <c r="N59" s="255">
        <f>M59/M$61</f>
        <v>0.31051108968177432</v>
      </c>
      <c r="O59" s="251">
        <f>N59*M$53</f>
        <v>10116.76181292189</v>
      </c>
      <c r="AC59" s="182">
        <v>2969</v>
      </c>
      <c r="AD59" s="182">
        <v>3554</v>
      </c>
      <c r="AH59" s="182">
        <v>4411</v>
      </c>
      <c r="AI59" s="182">
        <v>5542</v>
      </c>
      <c r="AJ59" s="182">
        <f t="shared" si="2"/>
        <v>1131</v>
      </c>
    </row>
    <row r="60" spans="11:36" x14ac:dyDescent="0.2">
      <c r="K60" s="248">
        <v>342</v>
      </c>
      <c r="L60" s="168"/>
      <c r="M60" s="168">
        <v>692</v>
      </c>
      <c r="N60" s="255">
        <f>M60/M$61</f>
        <v>0.33365477338476374</v>
      </c>
      <c r="O60" s="251">
        <f>N60*M$53</f>
        <v>10870.806171648986</v>
      </c>
      <c r="AC60" s="182">
        <v>857</v>
      </c>
      <c r="AD60" s="182">
        <v>1718</v>
      </c>
      <c r="AH60" s="182">
        <v>2231</v>
      </c>
      <c r="AI60" s="182">
        <v>2755</v>
      </c>
      <c r="AJ60" s="182">
        <f t="shared" si="2"/>
        <v>524</v>
      </c>
    </row>
    <row r="61" spans="11:36" x14ac:dyDescent="0.2">
      <c r="K61" s="248"/>
      <c r="L61" s="168"/>
      <c r="M61" s="168">
        <f>SUM(M58:M60)</f>
        <v>2074</v>
      </c>
      <c r="N61" s="255">
        <f>M61/M$61</f>
        <v>1</v>
      </c>
      <c r="O61" s="251">
        <f>N61*M$53</f>
        <v>32581</v>
      </c>
      <c r="AC61" s="182">
        <v>3831</v>
      </c>
      <c r="AD61" s="182">
        <v>4032</v>
      </c>
      <c r="AH61" s="182">
        <v>5956</v>
      </c>
      <c r="AI61" s="182">
        <v>5842</v>
      </c>
      <c r="AJ61" s="182">
        <f t="shared" si="2"/>
        <v>-114</v>
      </c>
    </row>
    <row r="62" spans="11:36" x14ac:dyDescent="0.2">
      <c r="K62" s="248"/>
      <c r="L62" s="168"/>
      <c r="M62" s="168"/>
      <c r="N62" s="168"/>
      <c r="O62" s="249" t="s">
        <v>112</v>
      </c>
      <c r="AC62" s="182">
        <v>4185</v>
      </c>
      <c r="AD62" s="182">
        <v>4554</v>
      </c>
      <c r="AH62" s="182">
        <v>7091</v>
      </c>
      <c r="AI62" s="182">
        <v>8306</v>
      </c>
      <c r="AJ62" s="182">
        <f t="shared" si="2"/>
        <v>1215</v>
      </c>
    </row>
    <row r="63" spans="11:36" x14ac:dyDescent="0.2">
      <c r="K63" s="256">
        <f>K58</f>
        <v>199</v>
      </c>
      <c r="L63" s="257"/>
      <c r="M63" s="257"/>
      <c r="N63" s="257"/>
      <c r="O63" s="254">
        <f>M58/M61</f>
        <v>0.35583413693346189</v>
      </c>
      <c r="AC63" s="182">
        <v>6351</v>
      </c>
      <c r="AD63" s="182">
        <v>6146</v>
      </c>
      <c r="AH63" s="182">
        <v>9040</v>
      </c>
      <c r="AI63" s="182">
        <v>9320</v>
      </c>
      <c r="AJ63" s="182">
        <f t="shared" si="2"/>
        <v>280</v>
      </c>
    </row>
    <row r="64" spans="11:36" x14ac:dyDescent="0.2">
      <c r="K64" s="258" t="s">
        <v>61</v>
      </c>
      <c r="L64" s="259"/>
      <c r="M64" s="259"/>
      <c r="N64" s="259"/>
      <c r="O64" s="260">
        <f>(M60+M59)/M61</f>
        <v>0.64416586306653811</v>
      </c>
      <c r="AC64" s="182">
        <v>4547</v>
      </c>
      <c r="AD64" s="182">
        <v>6186</v>
      </c>
      <c r="AH64" s="182">
        <v>6256</v>
      </c>
      <c r="AI64" s="182">
        <v>9350</v>
      </c>
      <c r="AJ64" s="182">
        <f t="shared" si="2"/>
        <v>3094</v>
      </c>
    </row>
    <row r="65" spans="29:36" x14ac:dyDescent="0.2">
      <c r="AC65" s="182">
        <v>40620</v>
      </c>
      <c r="AD65" s="182">
        <v>39402</v>
      </c>
      <c r="AH65" s="182">
        <v>62206</v>
      </c>
      <c r="AI65" s="182">
        <v>60998</v>
      </c>
      <c r="AJ65" s="182">
        <f t="shared" si="2"/>
        <v>-1208</v>
      </c>
    </row>
  </sheetData>
  <sheetProtection selectLockedCells="1" selectUnlockedCells="1"/>
  <mergeCells count="109">
    <mergeCell ref="V41:V42"/>
    <mergeCell ref="X41:X42"/>
    <mergeCell ref="AB41:AB42"/>
    <mergeCell ref="AI42:AL42"/>
    <mergeCell ref="Q43:T43"/>
    <mergeCell ref="V43:Z43"/>
    <mergeCell ref="AB43:AG43"/>
    <mergeCell ref="AI43:AM43"/>
    <mergeCell ref="W38:W39"/>
    <mergeCell ref="Z38:Z39"/>
    <mergeCell ref="AG38:AG39"/>
    <mergeCell ref="AI38:AI39"/>
    <mergeCell ref="AM38:AM39"/>
    <mergeCell ref="V40:Z40"/>
    <mergeCell ref="AB40:AG40"/>
    <mergeCell ref="AI40:AM40"/>
    <mergeCell ref="AI34:AM34"/>
    <mergeCell ref="AG35:AG37"/>
    <mergeCell ref="AL35:AL36"/>
    <mergeCell ref="AM35:AM36"/>
    <mergeCell ref="Q37:T37"/>
    <mergeCell ref="V37:Z37"/>
    <mergeCell ref="AB37:AC37"/>
    <mergeCell ref="AI37:AM37"/>
    <mergeCell ref="O30:O34"/>
    <mergeCell ref="Q31:T31"/>
    <mergeCell ref="AB31:AD31"/>
    <mergeCell ref="AE31:AG31"/>
    <mergeCell ref="AI31:AM31"/>
    <mergeCell ref="Q32:Q33"/>
    <mergeCell ref="T32:T35"/>
    <mergeCell ref="AK32:AK33"/>
    <mergeCell ref="AM32:AM33"/>
    <mergeCell ref="AB34:AG34"/>
    <mergeCell ref="AB28:AD28"/>
    <mergeCell ref="AE28:AG28"/>
    <mergeCell ref="AI28:AM28"/>
    <mergeCell ref="Q29:Q30"/>
    <mergeCell ref="T29:T30"/>
    <mergeCell ref="V29:V30"/>
    <mergeCell ref="AI29:AI30"/>
    <mergeCell ref="AL29:AL30"/>
    <mergeCell ref="AM29:AM30"/>
    <mergeCell ref="V25:Z25"/>
    <mergeCell ref="AE25:AG25"/>
    <mergeCell ref="AI25:AM25"/>
    <mergeCell ref="O26:O28"/>
    <mergeCell ref="Q26:Q27"/>
    <mergeCell ref="T26:T27"/>
    <mergeCell ref="AI26:AI27"/>
    <mergeCell ref="AB27:AG27"/>
    <mergeCell ref="Q28:T28"/>
    <mergeCell ref="V28:Z28"/>
    <mergeCell ref="Q22:T22"/>
    <mergeCell ref="V22:Z22"/>
    <mergeCell ref="AB22:AG22"/>
    <mergeCell ref="AI22:AM22"/>
    <mergeCell ref="L23:L26"/>
    <mergeCell ref="Q23:Q24"/>
    <mergeCell ref="T23:T24"/>
    <mergeCell ref="V23:V24"/>
    <mergeCell ref="Z23:Z24"/>
    <mergeCell ref="Q25:T25"/>
    <mergeCell ref="P19:P43"/>
    <mergeCell ref="AB19:AG19"/>
    <mergeCell ref="AI19:AM19"/>
    <mergeCell ref="AN19:AN43"/>
    <mergeCell ref="O20:O22"/>
    <mergeCell ref="Q20:Q21"/>
    <mergeCell ref="Z20:Z21"/>
    <mergeCell ref="AE20:AE21"/>
    <mergeCell ref="AF20:AF21"/>
    <mergeCell ref="AI20:AI21"/>
    <mergeCell ref="AI16:AM16"/>
    <mergeCell ref="Q17:Q18"/>
    <mergeCell ref="Z17:Z18"/>
    <mergeCell ref="AB17:AB18"/>
    <mergeCell ref="AF17:AF18"/>
    <mergeCell ref="AG17:AG18"/>
    <mergeCell ref="Q11:Q12"/>
    <mergeCell ref="V11:V12"/>
    <mergeCell ref="AB11:AB12"/>
    <mergeCell ref="AB13:AG13"/>
    <mergeCell ref="AI13:AM13"/>
    <mergeCell ref="Q14:Q15"/>
    <mergeCell ref="Z14:Z15"/>
    <mergeCell ref="AB14:AB15"/>
    <mergeCell ref="V15:W17"/>
    <mergeCell ref="AB16:AG16"/>
    <mergeCell ref="V7:Z7"/>
    <mergeCell ref="AB7:AG7"/>
    <mergeCell ref="AI7:AM7"/>
    <mergeCell ref="Q8:Q9"/>
    <mergeCell ref="Z8:Z9"/>
    <mergeCell ref="Q10:T10"/>
    <mergeCell ref="V10:Z10"/>
    <mergeCell ref="AA10:AA27"/>
    <mergeCell ref="AB10:AG10"/>
    <mergeCell ref="AI10:AM10"/>
    <mergeCell ref="L4:L6"/>
    <mergeCell ref="Q4:T4"/>
    <mergeCell ref="V4:Z4"/>
    <mergeCell ref="AB4:AG4"/>
    <mergeCell ref="AH4:AH24"/>
    <mergeCell ref="AI4:AM4"/>
    <mergeCell ref="R5:R6"/>
    <mergeCell ref="AM5:AM6"/>
    <mergeCell ref="Q7:T7"/>
    <mergeCell ref="U7:U21"/>
  </mergeCells>
  <printOptions horizontalCentered="1"/>
  <pageMargins left="0.2" right="0.2" top="0.25" bottom="0.25" header="0.51180555555555551" footer="0.51180555555555551"/>
  <pageSetup firstPageNumber="0" orientation="landscape" horizontalDpi="300" verticalDpi="300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X56"/>
  <sheetViews>
    <sheetView topLeftCell="A21" zoomScale="130" zoomScaleNormal="130" workbookViewId="0">
      <selection activeCell="AJ23" sqref="AJ23"/>
    </sheetView>
  </sheetViews>
  <sheetFormatPr defaultColWidth="9.42578125" defaultRowHeight="14.25" x14ac:dyDescent="0.2"/>
  <cols>
    <col min="1" max="6" width="9.42578125" style="1"/>
    <col min="7" max="7" width="7" style="1" customWidth="1"/>
    <col min="8" max="9" width="9.42578125" style="1"/>
    <col min="10" max="10" width="7.28515625" style="1" customWidth="1"/>
    <col min="11" max="11" width="6.7109375" style="1" customWidth="1"/>
    <col min="12" max="12" width="3.5703125" style="1" customWidth="1"/>
    <col min="13" max="13" width="4.5703125" style="1" customWidth="1"/>
    <col min="14" max="17" width="5.140625" style="1" customWidth="1"/>
    <col min="18" max="18" width="4.7109375" style="1" customWidth="1"/>
    <col min="19" max="37" width="5.140625" style="1" customWidth="1"/>
    <col min="38" max="16384" width="9.42578125" style="1"/>
  </cols>
  <sheetData>
    <row r="3" spans="2:50" ht="15" x14ac:dyDescent="0.25">
      <c r="Y3" s="3"/>
    </row>
    <row r="4" spans="2:50" ht="14.1" customHeight="1" x14ac:dyDescent="0.2">
      <c r="L4" s="303" t="s">
        <v>113</v>
      </c>
      <c r="N4" s="304" t="s">
        <v>1</v>
      </c>
      <c r="O4" s="304"/>
      <c r="P4" s="304"/>
      <c r="Q4" s="304"/>
      <c r="S4" s="304" t="s">
        <v>1</v>
      </c>
      <c r="T4" s="304"/>
      <c r="U4" s="304"/>
      <c r="V4" s="304"/>
      <c r="W4" s="304"/>
      <c r="X4" s="6"/>
      <c r="Y4" s="304" t="s">
        <v>1</v>
      </c>
      <c r="Z4" s="304"/>
      <c r="AA4" s="304"/>
      <c r="AB4" s="304" t="s">
        <v>1</v>
      </c>
      <c r="AC4" s="304"/>
      <c r="AD4" s="304"/>
      <c r="AE4" s="305" t="s">
        <v>2</v>
      </c>
      <c r="AF4" s="304" t="s">
        <v>1</v>
      </c>
      <c r="AG4" s="304"/>
      <c r="AH4" s="304"/>
      <c r="AI4" s="304"/>
      <c r="AJ4" s="304"/>
      <c r="AV4" s="1" t="s">
        <v>53</v>
      </c>
      <c r="AW4" s="1">
        <f t="shared" ref="AW4:AW9" si="0">AX4-BH4</f>
        <v>3554</v>
      </c>
      <c r="AX4" s="1">
        <v>3554</v>
      </c>
    </row>
    <row r="5" spans="2:50" x14ac:dyDescent="0.2">
      <c r="L5" s="303"/>
      <c r="N5" s="7"/>
      <c r="O5" s="306">
        <v>452</v>
      </c>
      <c r="P5" s="8"/>
      <c r="Q5" s="7"/>
      <c r="S5" s="7">
        <v>452</v>
      </c>
      <c r="T5" s="7"/>
      <c r="U5" s="7"/>
      <c r="V5" s="7"/>
      <c r="W5" s="7" t="s">
        <v>114</v>
      </c>
      <c r="X5" s="6"/>
      <c r="Y5" s="7"/>
      <c r="Z5" s="7"/>
      <c r="AA5" s="7"/>
      <c r="AB5" s="7"/>
      <c r="AC5" s="7"/>
      <c r="AD5" s="7"/>
      <c r="AE5" s="305"/>
      <c r="AF5" s="7"/>
      <c r="AG5" s="7"/>
      <c r="AH5" s="7"/>
      <c r="AI5" s="7"/>
      <c r="AJ5" s="307"/>
      <c r="AL5" s="1" t="s">
        <v>115</v>
      </c>
      <c r="AM5" s="1" t="s">
        <v>116</v>
      </c>
      <c r="AN5" s="1" t="s">
        <v>117</v>
      </c>
      <c r="AO5" s="1" t="s">
        <v>118</v>
      </c>
      <c r="AV5" s="1" t="s">
        <v>57</v>
      </c>
      <c r="AW5" s="1">
        <f t="shared" si="0"/>
        <v>1718</v>
      </c>
      <c r="AX5" s="1">
        <v>1718</v>
      </c>
    </row>
    <row r="6" spans="2:50" x14ac:dyDescent="0.2">
      <c r="I6" s="1">
        <f>S6+T6+U6+V6+W6</f>
        <v>305</v>
      </c>
      <c r="L6" s="303"/>
      <c r="N6" s="7"/>
      <c r="O6" s="306"/>
      <c r="P6" s="8"/>
      <c r="Q6" s="9"/>
      <c r="S6" s="6">
        <f>102+1+1+8</f>
        <v>112</v>
      </c>
      <c r="T6" s="6">
        <f>8+9+23+2+7</f>
        <v>49</v>
      </c>
      <c r="U6" s="6">
        <f>5+1+17+2</f>
        <v>25</v>
      </c>
      <c r="V6" s="6">
        <f>34+6+9+2+10</f>
        <v>61</v>
      </c>
      <c r="W6" s="10">
        <v>58</v>
      </c>
      <c r="X6" s="6"/>
      <c r="Y6" s="7"/>
      <c r="Z6" s="7">
        <v>87</v>
      </c>
      <c r="AA6" s="7"/>
      <c r="AB6" s="7"/>
      <c r="AC6" s="7"/>
      <c r="AD6" s="7"/>
      <c r="AE6" s="305"/>
      <c r="AF6" s="7"/>
      <c r="AG6" s="7"/>
      <c r="AH6" s="7"/>
      <c r="AI6" s="7"/>
      <c r="AJ6" s="307"/>
      <c r="AM6" s="1">
        <f>S6+T6+U6+V6+W6</f>
        <v>305</v>
      </c>
      <c r="AV6" s="1" t="s">
        <v>59</v>
      </c>
      <c r="AW6" s="1">
        <f t="shared" si="0"/>
        <v>4032</v>
      </c>
      <c r="AX6" s="1">
        <v>4032</v>
      </c>
    </row>
    <row r="7" spans="2:50" x14ac:dyDescent="0.2">
      <c r="N7" s="304" t="s">
        <v>4</v>
      </c>
      <c r="O7" s="304"/>
      <c r="P7" s="304"/>
      <c r="Q7" s="304"/>
      <c r="R7" s="308" t="s">
        <v>5</v>
      </c>
      <c r="S7" s="304" t="s">
        <v>4</v>
      </c>
      <c r="T7" s="304"/>
      <c r="U7" s="304"/>
      <c r="V7" s="304"/>
      <c r="W7" s="304"/>
      <c r="X7" s="6"/>
      <c r="Y7" s="304" t="s">
        <v>4</v>
      </c>
      <c r="Z7" s="304"/>
      <c r="AA7" s="304"/>
      <c r="AB7" s="304" t="s">
        <v>4</v>
      </c>
      <c r="AC7" s="304"/>
      <c r="AD7" s="304"/>
      <c r="AE7" s="305"/>
      <c r="AF7" s="304" t="s">
        <v>4</v>
      </c>
      <c r="AG7" s="304"/>
      <c r="AH7" s="304"/>
      <c r="AI7" s="304"/>
      <c r="AJ7" s="304"/>
      <c r="AV7" s="1" t="s">
        <v>63</v>
      </c>
      <c r="AW7" s="1">
        <f t="shared" si="0"/>
        <v>4554</v>
      </c>
      <c r="AX7" s="1">
        <v>4554</v>
      </c>
    </row>
    <row r="8" spans="2:50" ht="15" customHeight="1" x14ac:dyDescent="0.2">
      <c r="B8" s="1">
        <f>H8-AL8</f>
        <v>0</v>
      </c>
      <c r="H8" s="1">
        <f>O8+P8+Q8</f>
        <v>552</v>
      </c>
      <c r="I8" s="1">
        <f>S8+T8+U8+V8</f>
        <v>371</v>
      </c>
      <c r="L8" s="303" t="s">
        <v>119</v>
      </c>
      <c r="N8" s="309">
        <v>419</v>
      </c>
      <c r="O8" s="12">
        <f>365+8+1+1+8+2+2</f>
        <v>387</v>
      </c>
      <c r="P8" s="1">
        <f>2+3+2+2+2+2</f>
        <v>13</v>
      </c>
      <c r="Q8" s="13">
        <f>2+2+148</f>
        <v>152</v>
      </c>
      <c r="R8" s="308"/>
      <c r="S8" s="6">
        <f>53+20+8+2</f>
        <v>83</v>
      </c>
      <c r="T8" s="6">
        <f>7+1+8+8+1+8+1</f>
        <v>34</v>
      </c>
      <c r="U8" s="6">
        <f>3+3+8+6+10+169+1</f>
        <v>200</v>
      </c>
      <c r="V8" s="6">
        <f>3+3+37+5+6</f>
        <v>54</v>
      </c>
      <c r="W8" s="310">
        <v>378</v>
      </c>
      <c r="X8" s="6"/>
      <c r="Y8" s="7"/>
      <c r="Z8" s="7"/>
      <c r="AA8" s="7"/>
      <c r="AB8" s="7"/>
      <c r="AC8" s="7"/>
      <c r="AD8" s="7"/>
      <c r="AE8" s="305"/>
      <c r="AF8" s="7"/>
      <c r="AG8" s="7"/>
      <c r="AH8" s="7"/>
      <c r="AI8" s="7"/>
      <c r="AJ8" s="7"/>
      <c r="AL8" s="1">
        <f>Q8+P8+O8</f>
        <v>552</v>
      </c>
      <c r="AM8" s="1">
        <f>S8+T8+U8+V8</f>
        <v>371</v>
      </c>
      <c r="AP8" s="1">
        <v>155</v>
      </c>
      <c r="AQ8" s="1">
        <f>SUM(AL11:AM21)</f>
        <v>7041</v>
      </c>
      <c r="AR8" s="1">
        <f>AW9</f>
        <v>6186</v>
      </c>
      <c r="AS8" s="1">
        <f>SUM(AN11:AO21)</f>
        <v>6928</v>
      </c>
      <c r="AT8" s="1">
        <f>AW8</f>
        <v>6146</v>
      </c>
      <c r="AV8" s="1" t="s">
        <v>66</v>
      </c>
      <c r="AW8" s="1">
        <f t="shared" si="0"/>
        <v>6146</v>
      </c>
      <c r="AX8" s="1">
        <v>6146</v>
      </c>
    </row>
    <row r="9" spans="2:50" ht="39.75" customHeight="1" x14ac:dyDescent="0.2">
      <c r="B9" s="1">
        <f>H9-AL9</f>
        <v>0</v>
      </c>
      <c r="C9" s="1">
        <f>SUM(H8:H9)</f>
        <v>1250</v>
      </c>
      <c r="D9" s="1">
        <f>SUM(I8:I9)</f>
        <v>1145</v>
      </c>
      <c r="H9" s="1">
        <f>N8+O9+P9+Q9</f>
        <v>698</v>
      </c>
      <c r="I9" s="1">
        <f>S9+T9+U9+V9+W8</f>
        <v>774</v>
      </c>
      <c r="L9" s="303"/>
      <c r="N9" s="309"/>
      <c r="O9" s="1">
        <f>36+6+1</f>
        <v>43</v>
      </c>
      <c r="P9" s="1">
        <f>3+3+2</f>
        <v>8</v>
      </c>
      <c r="Q9" s="1">
        <f>185+43</f>
        <v>228</v>
      </c>
      <c r="R9" s="308"/>
      <c r="S9" s="1">
        <f>114+9+30+10</f>
        <v>163</v>
      </c>
      <c r="T9" s="4">
        <f>7+7+6+8+5+53</f>
        <v>86</v>
      </c>
      <c r="U9" s="1">
        <f>61+42+4+5+6</f>
        <v>118</v>
      </c>
      <c r="V9" s="1">
        <f>7+7+8+7</f>
        <v>29</v>
      </c>
      <c r="W9" s="310"/>
      <c r="Y9" s="7"/>
      <c r="Z9" s="7">
        <v>87</v>
      </c>
      <c r="AA9" s="7"/>
      <c r="AB9" s="7"/>
      <c r="AC9" s="7"/>
      <c r="AD9" s="7"/>
      <c r="AE9" s="305"/>
      <c r="AF9" s="7"/>
      <c r="AG9" s="7"/>
      <c r="AH9" s="14">
        <v>87</v>
      </c>
      <c r="AI9" s="7"/>
      <c r="AJ9" s="7"/>
      <c r="AL9" s="1">
        <f>Q9+P9+O9+N8</f>
        <v>698</v>
      </c>
      <c r="AM9" s="1">
        <f>S9+T9+W8+U9+V9</f>
        <v>774</v>
      </c>
      <c r="AR9" s="1">
        <f>AQ8-AR8</f>
        <v>855</v>
      </c>
      <c r="AT9" s="1">
        <f>AS8-AT8</f>
        <v>782</v>
      </c>
      <c r="AV9" s="1" t="s">
        <v>68</v>
      </c>
      <c r="AW9" s="1">
        <f t="shared" si="0"/>
        <v>6186</v>
      </c>
      <c r="AX9" s="1">
        <v>6186</v>
      </c>
    </row>
    <row r="10" spans="2:50" x14ac:dyDescent="0.2">
      <c r="L10" s="303"/>
      <c r="N10" s="304" t="s">
        <v>7</v>
      </c>
      <c r="O10" s="304"/>
      <c r="P10" s="304"/>
      <c r="Q10" s="304"/>
      <c r="R10" s="308"/>
      <c r="S10" s="304" t="s">
        <v>7</v>
      </c>
      <c r="T10" s="304"/>
      <c r="U10" s="304"/>
      <c r="V10" s="304"/>
      <c r="W10" s="304"/>
      <c r="X10" s="311" t="s">
        <v>8</v>
      </c>
      <c r="Y10" s="304" t="s">
        <v>7</v>
      </c>
      <c r="Z10" s="304"/>
      <c r="AA10" s="304"/>
      <c r="AB10" s="304" t="s">
        <v>7</v>
      </c>
      <c r="AC10" s="304"/>
      <c r="AD10" s="304"/>
      <c r="AE10" s="305"/>
      <c r="AF10" s="304" t="s">
        <v>7</v>
      </c>
      <c r="AG10" s="304"/>
      <c r="AH10" s="304"/>
      <c r="AI10" s="304"/>
      <c r="AJ10" s="304"/>
    </row>
    <row r="11" spans="2:50" ht="34.5" customHeight="1" x14ac:dyDescent="0.2">
      <c r="B11" s="1">
        <f>H11-AL11</f>
        <v>0</v>
      </c>
      <c r="C11" s="1">
        <f>SUM(H10:H11)</f>
        <v>905</v>
      </c>
      <c r="D11" s="1">
        <f>SUM(I10:I11)</f>
        <v>587</v>
      </c>
      <c r="E11" s="1">
        <f>SUM(J10:J11)</f>
        <v>434</v>
      </c>
      <c r="F11" s="1">
        <f>SUM(K10:K11)</f>
        <v>212</v>
      </c>
      <c r="H11" s="1">
        <f>N11+Q11</f>
        <v>905</v>
      </c>
      <c r="I11" s="1">
        <f>S11+W11</f>
        <v>587</v>
      </c>
      <c r="J11" s="1">
        <f>Z11+AA11+AB11+AC11+AD11</f>
        <v>434</v>
      </c>
      <c r="K11" s="1">
        <f>AF11+AG11+AH11+AI11</f>
        <v>212</v>
      </c>
      <c r="L11" s="303"/>
      <c r="N11" s="310">
        <v>362</v>
      </c>
      <c r="O11" s="15"/>
      <c r="P11" s="15"/>
      <c r="Q11" s="16">
        <v>543</v>
      </c>
      <c r="R11" s="308"/>
      <c r="S11" s="312">
        <v>173</v>
      </c>
      <c r="T11" s="385" t="s">
        <v>120</v>
      </c>
      <c r="U11" s="385"/>
      <c r="V11" s="385"/>
      <c r="W11" s="18">
        <f>185+229</f>
        <v>414</v>
      </c>
      <c r="X11" s="311"/>
      <c r="Y11" s="310">
        <v>264</v>
      </c>
      <c r="Z11" s="19">
        <v>179</v>
      </c>
      <c r="AA11" s="20">
        <f>18+8+10+20+10</f>
        <v>66</v>
      </c>
      <c r="AB11" s="19">
        <f>10+10+1+10</f>
        <v>31</v>
      </c>
      <c r="AC11" s="19">
        <v>38</v>
      </c>
      <c r="AD11" s="19">
        <f>36+84</f>
        <v>120</v>
      </c>
      <c r="AE11" s="305"/>
      <c r="AF11" s="19">
        <f>4+9+10+5</f>
        <v>28</v>
      </c>
      <c r="AG11" s="19">
        <f>7+7+10+5+5+3+8</f>
        <v>45</v>
      </c>
      <c r="AH11" s="19">
        <f>4+6+10+3+31+4+10</f>
        <v>68</v>
      </c>
      <c r="AI11" s="19">
        <f>4+1+10+56</f>
        <v>71</v>
      </c>
      <c r="AJ11" s="21"/>
      <c r="AL11" s="1">
        <f>Q11+P11+O11+N11</f>
        <v>905</v>
      </c>
      <c r="AM11" s="1">
        <f>W11</f>
        <v>414</v>
      </c>
      <c r="AN11" s="1">
        <f>AD11+AC11+Z11+AA11+AB11</f>
        <v>434</v>
      </c>
      <c r="AO11" s="1">
        <f>AI11+AH11+AG11+AF11</f>
        <v>212</v>
      </c>
    </row>
    <row r="12" spans="2:50" x14ac:dyDescent="0.2">
      <c r="J12" s="1">
        <f>Y11+Z12+AA12+AB12+AC12+AD12</f>
        <v>500</v>
      </c>
      <c r="K12" s="1">
        <f>AF12+AG12+AH12+AI12+AJ12</f>
        <v>467</v>
      </c>
      <c r="N12" s="310"/>
      <c r="O12" s="15"/>
      <c r="P12" s="15"/>
      <c r="Q12" s="22"/>
      <c r="R12" s="308"/>
      <c r="S12" s="312"/>
      <c r="W12" s="23" t="s">
        <v>121</v>
      </c>
      <c r="X12" s="311"/>
      <c r="Y12" s="310"/>
      <c r="Z12" s="1">
        <f>60+40+8</f>
        <v>108</v>
      </c>
      <c r="AA12" s="1">
        <f>8+10+1+2</f>
        <v>21</v>
      </c>
      <c r="AB12" s="1">
        <f>1+3+3+1+2</f>
        <v>10</v>
      </c>
      <c r="AC12" s="1">
        <f>7+10+10+1+3</f>
        <v>31</v>
      </c>
      <c r="AD12" s="1">
        <f>10+20+20+16</f>
        <v>66</v>
      </c>
      <c r="AE12" s="305"/>
      <c r="AF12" s="1">
        <f>65+10+9+6+10+1+10</f>
        <v>111</v>
      </c>
      <c r="AG12" s="1">
        <f>20+10+10+10+11</f>
        <v>61</v>
      </c>
      <c r="AH12" s="1">
        <f>10+6+3+10+10+10</f>
        <v>49</v>
      </c>
      <c r="AI12" s="1">
        <f>7+7+1+5+83</f>
        <v>103</v>
      </c>
      <c r="AJ12" s="1">
        <f>39+12+92</f>
        <v>143</v>
      </c>
      <c r="AM12" s="1">
        <f>S11</f>
        <v>173</v>
      </c>
      <c r="AN12" s="1">
        <f>AD12+AC12+Z12+AA12+AB12+Y11</f>
        <v>500</v>
      </c>
      <c r="AO12" s="1">
        <f>AI12+AH12+AG12+AF12+AJ12</f>
        <v>467</v>
      </c>
    </row>
    <row r="13" spans="2:50" x14ac:dyDescent="0.2">
      <c r="N13" s="13" t="s">
        <v>9</v>
      </c>
      <c r="Q13" s="22"/>
      <c r="R13" s="308"/>
      <c r="S13" s="25"/>
      <c r="T13" s="26"/>
      <c r="U13" s="26"/>
      <c r="V13" s="26"/>
      <c r="W13" s="27" t="s">
        <v>9</v>
      </c>
      <c r="X13" s="311"/>
      <c r="Y13" s="304" t="s">
        <v>9</v>
      </c>
      <c r="Z13" s="304"/>
      <c r="AA13" s="304"/>
      <c r="AB13" s="304" t="s">
        <v>9</v>
      </c>
      <c r="AC13" s="304"/>
      <c r="AD13" s="304"/>
      <c r="AE13" s="305"/>
      <c r="AF13" s="304" t="s">
        <v>9</v>
      </c>
      <c r="AG13" s="304"/>
      <c r="AH13" s="304"/>
      <c r="AI13" s="304"/>
      <c r="AJ13" s="304"/>
      <c r="AM13" s="261"/>
    </row>
    <row r="14" spans="2:50" ht="14.1" customHeight="1" x14ac:dyDescent="0.2">
      <c r="B14" s="1">
        <f>H14-AL14</f>
        <v>0</v>
      </c>
      <c r="C14" s="1">
        <f>SUM(H13:H14)</f>
        <v>948</v>
      </c>
      <c r="D14" s="1">
        <f>SUM(I13:I14)</f>
        <v>936</v>
      </c>
      <c r="E14" s="1">
        <f>SUM(J13:J14)</f>
        <v>1028</v>
      </c>
      <c r="F14" s="1">
        <f>SUM(K13:K14)</f>
        <v>314</v>
      </c>
      <c r="H14" s="1">
        <f>N14+Q14</f>
        <v>948</v>
      </c>
      <c r="I14" s="1">
        <f>S14+T14</f>
        <v>936</v>
      </c>
      <c r="J14" s="1">
        <f>Y14+AA14+AC14+AD14</f>
        <v>1028</v>
      </c>
      <c r="K14" s="1">
        <f>AF14+AG14+AH14+AI14+AJ14</f>
        <v>314</v>
      </c>
      <c r="N14" s="310">
        <v>516</v>
      </c>
      <c r="O14" s="15"/>
      <c r="P14" s="15"/>
      <c r="Q14" s="28">
        <v>432</v>
      </c>
      <c r="R14" s="308"/>
      <c r="S14" s="29">
        <v>452</v>
      </c>
      <c r="T14" s="30">
        <v>484</v>
      </c>
      <c r="U14" s="30"/>
      <c r="V14" s="30"/>
      <c r="W14" s="313" t="s">
        <v>122</v>
      </c>
      <c r="X14" s="311"/>
      <c r="Y14" s="310">
        <v>680</v>
      </c>
      <c r="Z14" s="31"/>
      <c r="AA14" s="1">
        <v>241</v>
      </c>
      <c r="AB14" s="32"/>
      <c r="AC14" s="1">
        <f>10+36+11</f>
        <v>57</v>
      </c>
      <c r="AD14" s="1">
        <f>36+14</f>
        <v>50</v>
      </c>
      <c r="AE14" s="305"/>
      <c r="AF14" s="1">
        <f>7+10+15+4+13+10</f>
        <v>59</v>
      </c>
      <c r="AG14" s="1">
        <f>10+9+4+15+9+10</f>
        <v>57</v>
      </c>
      <c r="AH14" s="1">
        <f>14+1+13+9+12+9</f>
        <v>58</v>
      </c>
      <c r="AI14" s="1">
        <f>8+20+19+11+11</f>
        <v>69</v>
      </c>
      <c r="AJ14" s="1">
        <f>14+14+1+42</f>
        <v>71</v>
      </c>
      <c r="AL14" s="1">
        <f>Q14+P14+O14+N14</f>
        <v>948</v>
      </c>
      <c r="AM14" s="22">
        <f>T14+S14</f>
        <v>936</v>
      </c>
      <c r="AN14" s="1">
        <f>AD14+AC14+AB14+AA14</f>
        <v>348</v>
      </c>
      <c r="AO14" s="1">
        <f>AI14+AH14+AG14+AF14+AJ14</f>
        <v>314</v>
      </c>
    </row>
    <row r="15" spans="2:50" ht="27.75" customHeight="1" x14ac:dyDescent="0.2">
      <c r="J15" s="1">
        <f>AB15+AC15+AD15</f>
        <v>249</v>
      </c>
      <c r="K15" s="1">
        <f>AJ15+AH15+AG15+AF15</f>
        <v>488</v>
      </c>
      <c r="N15" s="310"/>
      <c r="O15" s="15"/>
      <c r="P15" s="15"/>
      <c r="Q15" s="22"/>
      <c r="R15" s="308"/>
      <c r="S15" s="49"/>
      <c r="T15" s="33"/>
      <c r="U15" s="33"/>
      <c r="V15" s="33"/>
      <c r="W15" s="313"/>
      <c r="X15" s="311"/>
      <c r="Y15" s="310"/>
      <c r="Z15" s="34" t="s">
        <v>11</v>
      </c>
      <c r="AA15" s="31"/>
      <c r="AB15" s="1">
        <v>160</v>
      </c>
      <c r="AC15" s="1">
        <f>15+30</f>
        <v>45</v>
      </c>
      <c r="AD15" s="35">
        <f>16+16+12</f>
        <v>44</v>
      </c>
      <c r="AE15" s="305"/>
      <c r="AF15" s="1">
        <f>16+11+9+10+10+11+10+14+16+11+10</f>
        <v>128</v>
      </c>
      <c r="AG15" s="1">
        <f>1+10+10+10+9+10+9+8</f>
        <v>67</v>
      </c>
      <c r="AH15" s="386">
        <f>75+10+10+10+4</f>
        <v>109</v>
      </c>
      <c r="AI15" s="386"/>
      <c r="AJ15" s="37">
        <f>12+172</f>
        <v>184</v>
      </c>
      <c r="AM15" s="22"/>
      <c r="AN15" s="1">
        <f>AD15+AC15+AB15+AA15+Y14</f>
        <v>929</v>
      </c>
      <c r="AO15" s="1">
        <f>AI15+AH15+AG15+AF15+AJ15</f>
        <v>488</v>
      </c>
    </row>
    <row r="16" spans="2:50" x14ac:dyDescent="0.2">
      <c r="H16" s="1">
        <f>N17+Q17</f>
        <v>858</v>
      </c>
      <c r="N16" s="38" t="s">
        <v>13</v>
      </c>
      <c r="O16" s="39"/>
      <c r="P16" s="39"/>
      <c r="Q16" s="40"/>
      <c r="R16" s="308"/>
      <c r="S16" s="387" t="s">
        <v>10</v>
      </c>
      <c r="T16" s="387"/>
      <c r="U16" s="41"/>
      <c r="V16" s="41"/>
      <c r="W16" s="42" t="s">
        <v>14</v>
      </c>
      <c r="X16" s="311"/>
      <c r="Y16" s="304" t="s">
        <v>13</v>
      </c>
      <c r="Z16" s="304"/>
      <c r="AA16" s="304"/>
      <c r="AB16" s="304" t="s">
        <v>13</v>
      </c>
      <c r="AC16" s="304"/>
      <c r="AD16" s="304"/>
      <c r="AE16" s="305"/>
      <c r="AF16" s="304" t="s">
        <v>13</v>
      </c>
      <c r="AG16" s="304"/>
      <c r="AH16" s="304"/>
      <c r="AI16" s="304"/>
      <c r="AJ16" s="304"/>
      <c r="AM16" s="22"/>
    </row>
    <row r="17" spans="1:41" ht="14.1" customHeight="1" x14ac:dyDescent="0.2">
      <c r="B17" s="1">
        <f>H16-AL17</f>
        <v>0</v>
      </c>
      <c r="C17" s="1">
        <f>SUM(H16:H17)</f>
        <v>858</v>
      </c>
      <c r="D17" s="1">
        <f>SUM(I16:I17)</f>
        <v>743</v>
      </c>
      <c r="E17" s="1">
        <f>SUM(J17:J18)</f>
        <v>1147</v>
      </c>
      <c r="F17" s="1">
        <f>SUM(K17:K18)</f>
        <v>883</v>
      </c>
      <c r="I17" s="1">
        <f>T18+W17</f>
        <v>743</v>
      </c>
      <c r="J17" s="1">
        <f>Z17+AB17+AD17</f>
        <v>689</v>
      </c>
      <c r="K17" s="1">
        <f>AF17+AG17+AH17+AI17</f>
        <v>321</v>
      </c>
      <c r="N17" s="310">
        <v>455</v>
      </c>
      <c r="O17" s="15"/>
      <c r="P17" s="15"/>
      <c r="Q17" s="28">
        <v>403</v>
      </c>
      <c r="R17" s="308"/>
      <c r="S17" s="49"/>
      <c r="T17" s="50"/>
      <c r="U17" s="15"/>
      <c r="V17" s="15"/>
      <c r="W17" s="315">
        <v>235</v>
      </c>
      <c r="X17" s="311"/>
      <c r="Y17" s="310">
        <v>448</v>
      </c>
      <c r="Z17" s="19">
        <v>46</v>
      </c>
      <c r="AA17" s="44"/>
      <c r="AB17" s="44">
        <f>75+297</f>
        <v>372</v>
      </c>
      <c r="AC17" s="316" t="s">
        <v>15</v>
      </c>
      <c r="AD17" s="310">
        <v>271</v>
      </c>
      <c r="AE17" s="305"/>
      <c r="AF17" s="1">
        <f>6+58+13+10+73+30+45</f>
        <v>235</v>
      </c>
      <c r="AG17" s="46">
        <v>45</v>
      </c>
      <c r="AH17" s="1">
        <f>1+10+1</f>
        <v>12</v>
      </c>
      <c r="AI17" s="1">
        <f>4+4+2+19</f>
        <v>29</v>
      </c>
      <c r="AJ17" s="47" t="s">
        <v>123</v>
      </c>
      <c r="AL17" s="1">
        <f>Q17+P17+O17+N17</f>
        <v>858</v>
      </c>
      <c r="AM17" s="22"/>
      <c r="AN17" s="1">
        <f>AB17+AA17+Z17</f>
        <v>418</v>
      </c>
      <c r="AO17" s="1">
        <f>AI17+AH17+AG17+AF17</f>
        <v>321</v>
      </c>
    </row>
    <row r="18" spans="1:41" x14ac:dyDescent="0.2">
      <c r="A18" s="1" t="s">
        <v>16</v>
      </c>
      <c r="J18" s="1">
        <f>Y17+Z18</f>
        <v>458</v>
      </c>
      <c r="K18" s="1">
        <f>AF18+AG18+AH18+AJ18</f>
        <v>562</v>
      </c>
      <c r="N18" s="310"/>
      <c r="O18" s="15"/>
      <c r="P18" s="15"/>
      <c r="Q18" s="22"/>
      <c r="R18" s="308"/>
      <c r="S18" s="49"/>
      <c r="T18" s="50">
        <v>508</v>
      </c>
      <c r="U18" s="15"/>
      <c r="V18" s="15"/>
      <c r="W18" s="315"/>
      <c r="X18" s="311"/>
      <c r="Y18" s="310"/>
      <c r="Z18" s="13">
        <v>10</v>
      </c>
      <c r="AA18" s="51" t="s">
        <v>124</v>
      </c>
      <c r="AB18" s="263"/>
      <c r="AC18" s="316"/>
      <c r="AD18" s="310"/>
      <c r="AE18" s="305"/>
      <c r="AF18" s="1">
        <f>173+41+35</f>
        <v>249</v>
      </c>
      <c r="AG18" s="1">
        <f>32+73</f>
        <v>105</v>
      </c>
      <c r="AH18" s="1">
        <v>31</v>
      </c>
      <c r="AJ18" s="1">
        <f>119+58</f>
        <v>177</v>
      </c>
      <c r="AM18" s="22">
        <f>W17+T18</f>
        <v>743</v>
      </c>
      <c r="AN18" s="1">
        <f>Z18+Y17+AD17</f>
        <v>729</v>
      </c>
      <c r="AO18" s="1">
        <f>AI18+AH18+AG18+AF18+AJ18</f>
        <v>562</v>
      </c>
    </row>
    <row r="19" spans="1:41" ht="22.5" customHeight="1" x14ac:dyDescent="0.2">
      <c r="I19" s="1">
        <f>S19</f>
        <v>454</v>
      </c>
      <c r="M19" s="311" t="s">
        <v>125</v>
      </c>
      <c r="N19" s="38" t="s">
        <v>18</v>
      </c>
      <c r="O19" s="39"/>
      <c r="P19" s="39"/>
      <c r="Q19" s="40"/>
      <c r="R19" s="308"/>
      <c r="S19" s="53">
        <v>454</v>
      </c>
      <c r="T19" s="50"/>
      <c r="U19" s="15"/>
      <c r="V19" s="15"/>
      <c r="W19" s="42" t="s">
        <v>126</v>
      </c>
      <c r="X19" s="311"/>
      <c r="Y19" s="304" t="s">
        <v>18</v>
      </c>
      <c r="Z19" s="304"/>
      <c r="AA19" s="304"/>
      <c r="AB19" s="304" t="s">
        <v>18</v>
      </c>
      <c r="AC19" s="304"/>
      <c r="AD19" s="304"/>
      <c r="AE19" s="305"/>
      <c r="AF19" s="304" t="s">
        <v>18</v>
      </c>
      <c r="AG19" s="304"/>
      <c r="AH19" s="304"/>
      <c r="AI19" s="304"/>
      <c r="AJ19" s="304"/>
      <c r="AK19" s="311" t="s">
        <v>127</v>
      </c>
      <c r="AL19" s="54"/>
      <c r="AM19" s="22"/>
    </row>
    <row r="20" spans="1:41" ht="19.5" customHeight="1" x14ac:dyDescent="0.2">
      <c r="B20" s="1">
        <f>H20-AL20</f>
        <v>0</v>
      </c>
      <c r="C20" s="1">
        <f>SUM(H20:H21)</f>
        <v>774</v>
      </c>
      <c r="D20" s="1">
        <f>SUM(I19:I21)</f>
        <v>1290</v>
      </c>
      <c r="E20" s="1">
        <f>SUM(J20:J21)</f>
        <v>933</v>
      </c>
      <c r="F20" s="1">
        <f>SUM(K20:K21)</f>
        <v>273</v>
      </c>
      <c r="H20" s="1">
        <f>N20</f>
        <v>354</v>
      </c>
      <c r="I20" s="1">
        <f>W20</f>
        <v>275</v>
      </c>
      <c r="J20" s="1">
        <f>Y20+Z20+AD20</f>
        <v>309</v>
      </c>
      <c r="K20" s="1">
        <f>AG20+AJ20</f>
        <v>166</v>
      </c>
      <c r="M20" s="311"/>
      <c r="N20" s="310">
        <v>354</v>
      </c>
      <c r="O20" s="15"/>
      <c r="P20" s="15"/>
      <c r="Q20" s="22"/>
      <c r="R20" s="308"/>
      <c r="S20" s="49"/>
      <c r="T20" s="33"/>
      <c r="U20" s="33"/>
      <c r="V20" s="33"/>
      <c r="W20" s="318">
        <v>275</v>
      </c>
      <c r="X20" s="311"/>
      <c r="Y20" s="55">
        <v>20</v>
      </c>
      <c r="Z20" s="1">
        <v>245</v>
      </c>
      <c r="AA20" s="310">
        <v>205</v>
      </c>
      <c r="AB20" s="319"/>
      <c r="AC20" s="320" t="s">
        <v>11</v>
      </c>
      <c r="AD20" s="57">
        <f>12+8+12+12</f>
        <v>44</v>
      </c>
      <c r="AE20" s="305"/>
      <c r="AF20" s="321" t="s">
        <v>128</v>
      </c>
      <c r="AG20" s="1">
        <f>60+39</f>
        <v>99</v>
      </c>
      <c r="AH20" s="58" t="s">
        <v>128</v>
      </c>
      <c r="AI20" s="58"/>
      <c r="AJ20" s="37">
        <v>67</v>
      </c>
      <c r="AK20" s="311"/>
      <c r="AL20" s="1">
        <f>Q20+P20+O20+N20</f>
        <v>354</v>
      </c>
      <c r="AM20" s="22">
        <f>S19</f>
        <v>454</v>
      </c>
      <c r="AN20" s="1">
        <f>AD20+Z20+Y20</f>
        <v>309</v>
      </c>
      <c r="AO20" s="1">
        <f>AJ20+AG20</f>
        <v>166</v>
      </c>
    </row>
    <row r="21" spans="1:41" ht="19.5" customHeight="1" x14ac:dyDescent="0.2">
      <c r="B21" s="1">
        <f>H21-AL21</f>
        <v>0</v>
      </c>
      <c r="H21" s="1">
        <f>Q21</f>
        <v>420</v>
      </c>
      <c r="I21" s="1">
        <f>S21</f>
        <v>561</v>
      </c>
      <c r="J21" s="1">
        <f>Y21+AA20+AD21</f>
        <v>624</v>
      </c>
      <c r="K21" s="1">
        <f>AJ21</f>
        <v>107</v>
      </c>
      <c r="M21" s="311"/>
      <c r="N21" s="310"/>
      <c r="O21" s="15"/>
      <c r="P21" s="15"/>
      <c r="Q21" s="59">
        <v>420</v>
      </c>
      <c r="R21" s="308"/>
      <c r="S21" s="60">
        <v>561</v>
      </c>
      <c r="T21" s="61"/>
      <c r="U21" s="61"/>
      <c r="V21" s="61"/>
      <c r="W21" s="318"/>
      <c r="X21" s="311"/>
      <c r="Y21" s="55">
        <v>276</v>
      </c>
      <c r="Z21" s="62" t="s">
        <v>129</v>
      </c>
      <c r="AA21" s="310"/>
      <c r="AB21" s="319"/>
      <c r="AC21" s="320"/>
      <c r="AD21" s="63">
        <v>143</v>
      </c>
      <c r="AE21" s="305"/>
      <c r="AF21" s="321"/>
      <c r="AG21" s="58"/>
      <c r="AH21" s="58"/>
      <c r="AI21" s="58" t="s">
        <v>128</v>
      </c>
      <c r="AJ21" s="37">
        <v>107</v>
      </c>
      <c r="AK21" s="311"/>
      <c r="AL21" s="1">
        <f>Q21+P21+O21+N21</f>
        <v>420</v>
      </c>
      <c r="AM21" s="264">
        <f>S21+W20</f>
        <v>836</v>
      </c>
      <c r="AN21" s="1">
        <f>AD21+AA20+Y21</f>
        <v>624</v>
      </c>
      <c r="AO21" s="1">
        <f>AJ21</f>
        <v>107</v>
      </c>
    </row>
    <row r="22" spans="1:41" ht="14.1" customHeight="1" x14ac:dyDescent="0.2">
      <c r="M22" s="311"/>
      <c r="N22" s="322" t="s">
        <v>22</v>
      </c>
      <c r="O22" s="322"/>
      <c r="P22" s="322"/>
      <c r="Q22" s="322"/>
      <c r="R22" s="83"/>
      <c r="S22" s="304" t="s">
        <v>22</v>
      </c>
      <c r="T22" s="304"/>
      <c r="U22" s="304"/>
      <c r="V22" s="304"/>
      <c r="W22" s="304"/>
      <c r="X22" s="311"/>
      <c r="Y22" s="304" t="s">
        <v>22</v>
      </c>
      <c r="Z22" s="304"/>
      <c r="AA22" s="304"/>
      <c r="AB22" s="304" t="s">
        <v>22</v>
      </c>
      <c r="AC22" s="304"/>
      <c r="AD22" s="304"/>
      <c r="AE22" s="305"/>
      <c r="AF22" s="304" t="s">
        <v>22</v>
      </c>
      <c r="AG22" s="304"/>
      <c r="AH22" s="304"/>
      <c r="AI22" s="304"/>
      <c r="AJ22" s="304"/>
      <c r="AK22" s="311"/>
      <c r="AL22" s="54"/>
    </row>
    <row r="23" spans="1:41" ht="14.1" customHeight="1" x14ac:dyDescent="0.2">
      <c r="B23" s="1">
        <f>H23-AL23</f>
        <v>0</v>
      </c>
      <c r="C23" s="1">
        <f>SUM(H22:H23)</f>
        <v>276</v>
      </c>
      <c r="D23" s="1">
        <f>SUM(I22:I23)</f>
        <v>0</v>
      </c>
      <c r="E23" s="1">
        <f>SUM(J22:J23)</f>
        <v>345</v>
      </c>
      <c r="F23" s="1">
        <f>SUM(K22:K23)</f>
        <v>455</v>
      </c>
      <c r="H23" s="1">
        <f>N23</f>
        <v>276</v>
      </c>
      <c r="J23" s="1">
        <f>Y23</f>
        <v>345</v>
      </c>
      <c r="K23" s="1">
        <f>AF23+AH23+AJ23</f>
        <v>455</v>
      </c>
      <c r="L23" s="303" t="s">
        <v>130</v>
      </c>
      <c r="M23" s="311"/>
      <c r="N23" s="323">
        <v>276</v>
      </c>
      <c r="O23" s="66"/>
      <c r="P23" s="66"/>
      <c r="Q23" s="324" t="s">
        <v>128</v>
      </c>
      <c r="R23" s="65"/>
      <c r="S23" s="388" t="s">
        <v>39</v>
      </c>
      <c r="U23" s="389" t="s">
        <v>131</v>
      </c>
      <c r="V23" s="389"/>
      <c r="W23" s="389"/>
      <c r="X23" s="311"/>
      <c r="Y23" s="1">
        <v>345</v>
      </c>
      <c r="Z23" s="32" t="s">
        <v>132</v>
      </c>
      <c r="AA23" s="67"/>
      <c r="AB23" s="68"/>
      <c r="AC23" s="68"/>
      <c r="AD23" s="68"/>
      <c r="AE23" s="305"/>
      <c r="AF23" s="13">
        <v>320</v>
      </c>
      <c r="AG23" s="69" t="s">
        <v>133</v>
      </c>
      <c r="AH23" s="1">
        <v>26</v>
      </c>
      <c r="AI23" s="331">
        <v>274</v>
      </c>
      <c r="AJ23" s="37">
        <v>109</v>
      </c>
      <c r="AK23" s="311"/>
      <c r="AL23" s="1">
        <f>N23</f>
        <v>276</v>
      </c>
      <c r="AN23" s="1">
        <f>Y23</f>
        <v>345</v>
      </c>
      <c r="AO23" s="1">
        <f>AJ23+AH23+AF23</f>
        <v>455</v>
      </c>
    </row>
    <row r="24" spans="1:41" x14ac:dyDescent="0.2">
      <c r="K24" s="1">
        <f>AI23+AG24</f>
        <v>349</v>
      </c>
      <c r="L24" s="303"/>
      <c r="M24" s="311"/>
      <c r="N24" s="323"/>
      <c r="O24" s="15"/>
      <c r="P24" s="15"/>
      <c r="Q24" s="324"/>
      <c r="R24" s="65"/>
      <c r="S24" s="388"/>
      <c r="U24" s="389"/>
      <c r="V24" s="389"/>
      <c r="W24" s="389"/>
      <c r="X24" s="311"/>
      <c r="Y24" s="68"/>
      <c r="Z24" s="68"/>
      <c r="AA24" s="68"/>
      <c r="AB24" s="71"/>
      <c r="AC24" s="71"/>
      <c r="AD24" s="71"/>
      <c r="AE24" s="305"/>
      <c r="AF24" s="32" t="s">
        <v>134</v>
      </c>
      <c r="AG24" s="1">
        <f>21+54</f>
        <v>75</v>
      </c>
      <c r="AH24" s="72" t="s">
        <v>135</v>
      </c>
      <c r="AI24" s="331"/>
      <c r="AJ24" s="32" t="s">
        <v>136</v>
      </c>
      <c r="AK24" s="311"/>
      <c r="AL24" s="74" t="s">
        <v>137</v>
      </c>
      <c r="AO24" s="1">
        <f>AI23+AG24</f>
        <v>349</v>
      </c>
    </row>
    <row r="25" spans="1:41" ht="14.1" customHeight="1" x14ac:dyDescent="0.2">
      <c r="L25" s="303"/>
      <c r="M25" s="311"/>
      <c r="N25" s="390" t="s">
        <v>24</v>
      </c>
      <c r="O25" s="390"/>
      <c r="P25" s="390"/>
      <c r="Q25" s="390"/>
      <c r="R25" s="65"/>
      <c r="S25" s="304" t="s">
        <v>24</v>
      </c>
      <c r="T25" s="304"/>
      <c r="U25" s="304"/>
      <c r="V25" s="304"/>
      <c r="W25" s="304"/>
      <c r="X25" s="311"/>
      <c r="Y25" s="328"/>
      <c r="Z25" s="328"/>
      <c r="AA25" s="328"/>
      <c r="AB25" s="328"/>
      <c r="AC25" s="328"/>
      <c r="AD25" s="328"/>
      <c r="AE25" s="65"/>
      <c r="AF25" s="322" t="s">
        <v>24</v>
      </c>
      <c r="AG25" s="322"/>
      <c r="AH25" s="322"/>
      <c r="AI25" s="322"/>
      <c r="AJ25" s="322"/>
      <c r="AK25" s="311"/>
      <c r="AL25" s="54"/>
    </row>
    <row r="26" spans="1:41" ht="30" customHeight="1" x14ac:dyDescent="0.2">
      <c r="B26" s="1">
        <f>H26-AL26</f>
        <v>0</v>
      </c>
      <c r="C26" s="1">
        <f>SUM(H26:H27)</f>
        <v>769</v>
      </c>
      <c r="D26" s="1">
        <f>SUM(I26:I27)</f>
        <v>361</v>
      </c>
      <c r="F26" s="1">
        <f>SUM(K26:K27)</f>
        <v>958</v>
      </c>
      <c r="H26" s="1">
        <f>N26+Q26</f>
        <v>769</v>
      </c>
      <c r="I26" s="1">
        <f>S26+T26</f>
        <v>361</v>
      </c>
      <c r="K26" s="1">
        <f>AG26+AH26+AJ26+AF26</f>
        <v>510</v>
      </c>
      <c r="L26" s="303"/>
      <c r="M26" s="311"/>
      <c r="N26" s="330">
        <v>266</v>
      </c>
      <c r="O26" s="15"/>
      <c r="P26" s="15"/>
      <c r="Q26" s="330">
        <v>503</v>
      </c>
      <c r="R26" s="65"/>
      <c r="S26" s="391">
        <v>186</v>
      </c>
      <c r="T26" s="392">
        <v>175</v>
      </c>
      <c r="U26" s="389" t="s">
        <v>138</v>
      </c>
      <c r="V26" s="389"/>
      <c r="W26" s="389"/>
      <c r="X26" s="311"/>
      <c r="Y26" s="71"/>
      <c r="Z26" s="71"/>
      <c r="AA26" s="71"/>
      <c r="AB26" s="71"/>
      <c r="AC26" s="71"/>
      <c r="AD26" s="71"/>
      <c r="AE26" s="65"/>
      <c r="AF26" s="331">
        <v>229</v>
      </c>
      <c r="AG26" s="78">
        <v>53</v>
      </c>
      <c r="AH26" s="393">
        <f>20+8+20+44+86</f>
        <v>178</v>
      </c>
      <c r="AI26" s="393"/>
      <c r="AJ26" s="80">
        <f>10+40</f>
        <v>50</v>
      </c>
      <c r="AK26" s="311"/>
      <c r="AL26" s="1">
        <f>SUM(N26+Q26)</f>
        <v>769</v>
      </c>
      <c r="AO26" s="1">
        <f>AJ26+AH26+AG26+AF26</f>
        <v>510</v>
      </c>
    </row>
    <row r="27" spans="1:41" x14ac:dyDescent="0.2">
      <c r="K27" s="1">
        <f>AG27+AH27+AJ27</f>
        <v>448</v>
      </c>
      <c r="M27" s="311"/>
      <c r="N27" s="330"/>
      <c r="O27" s="15"/>
      <c r="P27" s="15"/>
      <c r="Q27" s="330"/>
      <c r="R27" s="65"/>
      <c r="S27" s="391"/>
      <c r="T27" s="392"/>
      <c r="U27" s="389"/>
      <c r="V27" s="389"/>
      <c r="W27" s="389"/>
      <c r="X27" s="311"/>
      <c r="Y27" s="328" t="s">
        <v>26</v>
      </c>
      <c r="Z27" s="328"/>
      <c r="AA27" s="328"/>
      <c r="AB27" s="328" t="s">
        <v>26</v>
      </c>
      <c r="AC27" s="328"/>
      <c r="AD27" s="328"/>
      <c r="AE27" s="65"/>
      <c r="AF27" s="331"/>
      <c r="AG27" s="1">
        <f>34+15</f>
        <v>49</v>
      </c>
      <c r="AH27" s="1">
        <f>68+53+45</f>
        <v>166</v>
      </c>
      <c r="AJ27" s="1">
        <f>54+20+28+37+94</f>
        <v>233</v>
      </c>
      <c r="AK27" s="311"/>
      <c r="AL27" s="54"/>
      <c r="AM27" s="1">
        <f>T26+S26</f>
        <v>361</v>
      </c>
      <c r="AO27" s="1">
        <f>AJ27+AH27+AG27</f>
        <v>448</v>
      </c>
    </row>
    <row r="28" spans="1:41" x14ac:dyDescent="0.2">
      <c r="M28" s="311"/>
      <c r="N28" s="304" t="s">
        <v>27</v>
      </c>
      <c r="O28" s="304"/>
      <c r="P28" s="304"/>
      <c r="Q28" s="304"/>
      <c r="R28" s="65"/>
      <c r="S28" s="322" t="s">
        <v>27</v>
      </c>
      <c r="T28" s="322"/>
      <c r="U28" s="322"/>
      <c r="V28" s="322"/>
      <c r="W28" s="322"/>
      <c r="X28" s="65"/>
      <c r="Y28" s="328"/>
      <c r="Z28" s="328"/>
      <c r="AA28" s="328"/>
      <c r="AB28" s="328"/>
      <c r="AC28" s="328"/>
      <c r="AD28" s="328"/>
      <c r="AE28" s="83"/>
      <c r="AF28" s="304" t="s">
        <v>27</v>
      </c>
      <c r="AG28" s="304"/>
      <c r="AH28" s="304"/>
      <c r="AI28" s="304"/>
      <c r="AJ28" s="304"/>
      <c r="AK28" s="311"/>
    </row>
    <row r="29" spans="1:41" ht="14.1" customHeight="1" x14ac:dyDescent="0.2">
      <c r="B29" s="1">
        <f>H29-AL29</f>
        <v>0</v>
      </c>
      <c r="C29" s="1">
        <f>SUM(H29:H30)</f>
        <v>269</v>
      </c>
      <c r="D29" s="1">
        <f>SUM(I29:I30)</f>
        <v>356</v>
      </c>
      <c r="F29" s="1">
        <f>SUM(K29:K30)</f>
        <v>751</v>
      </c>
      <c r="H29" s="1">
        <f>N29</f>
        <v>269</v>
      </c>
      <c r="I29" s="1">
        <f>T29+U29</f>
        <v>192</v>
      </c>
      <c r="K29" s="1">
        <f>AF29+AG29</f>
        <v>676</v>
      </c>
      <c r="M29" s="311"/>
      <c r="N29" s="310">
        <v>269</v>
      </c>
      <c r="O29" s="15"/>
      <c r="P29" s="15"/>
      <c r="Q29" s="332" t="s">
        <v>139</v>
      </c>
      <c r="R29" s="83"/>
      <c r="S29" s="333" t="s">
        <v>140</v>
      </c>
      <c r="T29" s="26">
        <v>96</v>
      </c>
      <c r="U29" s="26">
        <v>96</v>
      </c>
      <c r="V29" s="84" t="s">
        <v>141</v>
      </c>
      <c r="W29" s="85"/>
      <c r="Y29" s="71"/>
      <c r="Z29" s="71"/>
      <c r="AA29" s="71"/>
      <c r="AB29" s="71"/>
      <c r="AC29" s="71"/>
      <c r="AD29" s="71"/>
      <c r="AE29" s="83"/>
      <c r="AF29" s="310">
        <v>655</v>
      </c>
      <c r="AG29" s="394">
        <f>15+6</f>
        <v>21</v>
      </c>
      <c r="AH29" s="394"/>
      <c r="AI29" s="335" t="s">
        <v>142</v>
      </c>
      <c r="AJ29" s="336" t="s">
        <v>143</v>
      </c>
      <c r="AK29" s="311"/>
      <c r="AL29" s="1">
        <f>N29</f>
        <v>269</v>
      </c>
      <c r="AM29" s="1">
        <f>U29+T29</f>
        <v>192</v>
      </c>
      <c r="AO29" s="1">
        <f>AG29</f>
        <v>21</v>
      </c>
    </row>
    <row r="30" spans="1:41" x14ac:dyDescent="0.2">
      <c r="I30" s="1">
        <f>T30</f>
        <v>164</v>
      </c>
      <c r="K30" s="1">
        <f>AG30+AH30</f>
        <v>75</v>
      </c>
      <c r="M30" s="311"/>
      <c r="N30" s="310"/>
      <c r="O30" s="15"/>
      <c r="P30" s="15"/>
      <c r="Q30" s="332"/>
      <c r="R30" s="83"/>
      <c r="S30" s="333"/>
      <c r="T30" s="61">
        <v>164</v>
      </c>
      <c r="U30" s="61"/>
      <c r="V30" s="33"/>
      <c r="W30" s="87"/>
      <c r="Y30" s="71"/>
      <c r="Z30" s="71"/>
      <c r="AA30" s="71"/>
      <c r="AB30" s="71"/>
      <c r="AC30" s="71"/>
      <c r="AD30" s="71"/>
      <c r="AE30" s="83"/>
      <c r="AF30" s="310"/>
      <c r="AG30" s="88">
        <v>24</v>
      </c>
      <c r="AH30" s="1">
        <v>51</v>
      </c>
      <c r="AI30" s="335"/>
      <c r="AJ30" s="336"/>
      <c r="AK30" s="311"/>
      <c r="AM30" s="1">
        <f>U30+T30</f>
        <v>164</v>
      </c>
      <c r="AO30" s="1">
        <f>AH30+AG30+AF29</f>
        <v>730</v>
      </c>
    </row>
    <row r="31" spans="1:41" x14ac:dyDescent="0.2">
      <c r="M31" s="311"/>
      <c r="N31" s="304" t="s">
        <v>29</v>
      </c>
      <c r="O31" s="304"/>
      <c r="P31" s="304"/>
      <c r="Q31" s="304"/>
      <c r="R31" s="83"/>
      <c r="S31" s="29"/>
      <c r="W31" s="87"/>
      <c r="Y31" s="328"/>
      <c r="Z31" s="328"/>
      <c r="AA31" s="328"/>
      <c r="AB31" s="328"/>
      <c r="AC31" s="328"/>
      <c r="AD31" s="328"/>
      <c r="AE31" s="83"/>
      <c r="AF31" s="304" t="s">
        <v>29</v>
      </c>
      <c r="AG31" s="304"/>
      <c r="AH31" s="304"/>
      <c r="AI31" s="304"/>
      <c r="AJ31" s="304"/>
      <c r="AK31" s="311"/>
      <c r="AM31" s="261"/>
    </row>
    <row r="32" spans="1:41" ht="15" customHeight="1" x14ac:dyDescent="0.2">
      <c r="B32" s="1">
        <f>C32-AL32-AL33</f>
        <v>0</v>
      </c>
      <c r="C32" s="1">
        <f>SUM(H32:H33)</f>
        <v>1468</v>
      </c>
      <c r="D32" s="1">
        <f>SUM(I32:I33)</f>
        <v>1080</v>
      </c>
      <c r="F32" s="1">
        <f>SUM(K32:K33)</f>
        <v>1188</v>
      </c>
      <c r="H32" s="1">
        <f>O32</f>
        <v>209</v>
      </c>
      <c r="K32" s="1">
        <f>AI32</f>
        <v>490</v>
      </c>
      <c r="M32" s="311"/>
      <c r="N32" s="310">
        <v>259</v>
      </c>
      <c r="O32" s="89">
        <v>209</v>
      </c>
      <c r="P32" s="89"/>
      <c r="Q32" s="337">
        <v>1000</v>
      </c>
      <c r="R32" s="83"/>
      <c r="S32" s="314">
        <v>1080</v>
      </c>
      <c r="T32" s="314"/>
      <c r="U32" s="4"/>
      <c r="V32" s="4"/>
      <c r="W32" s="87"/>
      <c r="X32" s="90"/>
      <c r="Y32" s="71"/>
      <c r="Z32" s="71"/>
      <c r="AA32" s="71"/>
      <c r="AB32" s="71"/>
      <c r="AC32" s="71"/>
      <c r="AD32" s="71"/>
      <c r="AE32" s="83"/>
      <c r="AF32" s="62" t="s">
        <v>144</v>
      </c>
      <c r="AH32" s="334" t="s">
        <v>11</v>
      </c>
      <c r="AI32" s="310">
        <v>490</v>
      </c>
      <c r="AJ32" s="310">
        <v>422</v>
      </c>
      <c r="AK32" s="311"/>
      <c r="AL32" s="1">
        <f>N32+O32</f>
        <v>468</v>
      </c>
      <c r="AM32" s="22"/>
      <c r="AO32" s="1">
        <f>AJ32+AI32</f>
        <v>912</v>
      </c>
    </row>
    <row r="33" spans="2:43" ht="28.5" x14ac:dyDescent="0.2">
      <c r="H33" s="1">
        <f>N32+Q32</f>
        <v>1259</v>
      </c>
      <c r="I33" s="1">
        <f>S32</f>
        <v>1080</v>
      </c>
      <c r="K33" s="1">
        <f>AF33+AJ32</f>
        <v>698</v>
      </c>
      <c r="M33" s="311"/>
      <c r="N33" s="310"/>
      <c r="O33" s="15"/>
      <c r="P33" s="15"/>
      <c r="Q33" s="337"/>
      <c r="R33" s="83"/>
      <c r="S33" s="314"/>
      <c r="T33" s="314"/>
      <c r="U33" s="4"/>
      <c r="V33" s="4"/>
      <c r="W33" s="87"/>
      <c r="X33" s="90"/>
      <c r="Y33" s="91"/>
      <c r="Z33" s="91"/>
      <c r="AA33" s="91"/>
      <c r="AB33" s="91"/>
      <c r="AC33" s="91"/>
      <c r="AD33" s="91"/>
      <c r="AE33" s="83"/>
      <c r="AF33" s="1">
        <v>276</v>
      </c>
      <c r="AG33" s="92" t="s">
        <v>145</v>
      </c>
      <c r="AH33" s="334"/>
      <c r="AI33" s="310"/>
      <c r="AJ33" s="310"/>
      <c r="AK33" s="311"/>
      <c r="AL33" s="1">
        <f>Q32</f>
        <v>1000</v>
      </c>
      <c r="AM33" s="22">
        <f>S32</f>
        <v>1080</v>
      </c>
      <c r="AO33" s="1">
        <f>AF33</f>
        <v>276</v>
      </c>
    </row>
    <row r="34" spans="2:43" ht="14.1" customHeight="1" x14ac:dyDescent="0.2">
      <c r="M34" s="311"/>
      <c r="N34" s="38" t="s">
        <v>30</v>
      </c>
      <c r="O34" s="39"/>
      <c r="P34" s="39"/>
      <c r="Q34" s="337"/>
      <c r="R34" s="83"/>
      <c r="S34" s="314"/>
      <c r="T34" s="314"/>
      <c r="U34" s="4"/>
      <c r="V34" s="4"/>
      <c r="W34" s="87"/>
      <c r="X34" s="90"/>
      <c r="Y34" s="338" t="s">
        <v>30</v>
      </c>
      <c r="Z34" s="338"/>
      <c r="AA34" s="338"/>
      <c r="AB34" s="338"/>
      <c r="AC34" s="338"/>
      <c r="AD34" s="338"/>
      <c r="AE34" s="83"/>
      <c r="AF34" s="304" t="s">
        <v>30</v>
      </c>
      <c r="AG34" s="304"/>
      <c r="AH34" s="304"/>
      <c r="AI34" s="304"/>
      <c r="AJ34" s="304"/>
      <c r="AK34" s="311"/>
      <c r="AM34" s="22"/>
    </row>
    <row r="35" spans="2:43" ht="15" customHeight="1" x14ac:dyDescent="0.2">
      <c r="C35" s="1">
        <f>SUM(H35:H36)</f>
        <v>605</v>
      </c>
      <c r="D35" s="1">
        <f>SUM(I35:I36)</f>
        <v>0</v>
      </c>
      <c r="E35" s="1">
        <f>SUM(J35:J36)</f>
        <v>768</v>
      </c>
      <c r="F35" s="1">
        <f>SUM(K35:K36)</f>
        <v>574</v>
      </c>
      <c r="J35" s="1">
        <f>Y35</f>
        <v>338</v>
      </c>
      <c r="K35" s="1">
        <f>AF35+AG35</f>
        <v>278</v>
      </c>
      <c r="M35" s="311"/>
      <c r="N35" s="310">
        <v>274</v>
      </c>
      <c r="O35" s="32" t="s">
        <v>146</v>
      </c>
      <c r="P35" s="32"/>
      <c r="Q35" s="337"/>
      <c r="R35" s="83"/>
      <c r="S35" s="314"/>
      <c r="T35" s="314"/>
      <c r="U35" s="4"/>
      <c r="V35" s="4"/>
      <c r="W35" s="87"/>
      <c r="X35" s="83"/>
      <c r="Y35" s="1">
        <v>338</v>
      </c>
      <c r="Z35" s="13"/>
      <c r="AA35" s="51"/>
      <c r="AB35" s="51"/>
      <c r="AC35" s="93"/>
      <c r="AD35" s="339">
        <v>211</v>
      </c>
      <c r="AE35" s="83"/>
      <c r="AF35" s="1">
        <v>158</v>
      </c>
      <c r="AG35" s="1">
        <v>120</v>
      </c>
      <c r="AI35" s="334" t="s">
        <v>11</v>
      </c>
      <c r="AJ35" s="310">
        <v>202</v>
      </c>
      <c r="AK35" s="311"/>
      <c r="AM35" s="22"/>
      <c r="AN35" s="1">
        <f>Y35</f>
        <v>338</v>
      </c>
      <c r="AO35" s="1">
        <f>AF35+AG35</f>
        <v>278</v>
      </c>
    </row>
    <row r="36" spans="2:43" ht="28.5" x14ac:dyDescent="0.2">
      <c r="B36" s="1">
        <f>H36-AL36</f>
        <v>0</v>
      </c>
      <c r="H36" s="1">
        <f>N35+Q36</f>
        <v>605</v>
      </c>
      <c r="J36" s="1">
        <f>Z36+AD35</f>
        <v>430</v>
      </c>
      <c r="K36" s="1">
        <f>AF36+AJ35</f>
        <v>296</v>
      </c>
      <c r="M36" s="311"/>
      <c r="N36" s="310"/>
      <c r="O36" s="15"/>
      <c r="P36" s="15"/>
      <c r="Q36" s="37">
        <v>331</v>
      </c>
      <c r="R36" s="83"/>
      <c r="S36" s="94"/>
      <c r="T36" s="72" t="s">
        <v>32</v>
      </c>
      <c r="U36" s="72"/>
      <c r="V36" s="72"/>
      <c r="W36" s="95"/>
      <c r="X36" s="83"/>
      <c r="Y36" s="6"/>
      <c r="Z36" s="6">
        <v>219</v>
      </c>
      <c r="AA36" s="97" t="s">
        <v>147</v>
      </c>
      <c r="AB36" s="51"/>
      <c r="AC36" s="51"/>
      <c r="AD36" s="339"/>
      <c r="AE36" s="83"/>
      <c r="AF36" s="1">
        <v>94</v>
      </c>
      <c r="AG36" s="98" t="s">
        <v>145</v>
      </c>
      <c r="AH36" s="98" t="s">
        <v>145</v>
      </c>
      <c r="AI36" s="334"/>
      <c r="AJ36" s="310"/>
      <c r="AK36" s="311"/>
      <c r="AL36" s="1">
        <f>Q36+N35</f>
        <v>605</v>
      </c>
      <c r="AM36" s="264"/>
      <c r="AN36" s="1">
        <f>Z36+AD35</f>
        <v>430</v>
      </c>
      <c r="AO36" s="1">
        <f>AJ35+AF36</f>
        <v>296</v>
      </c>
    </row>
    <row r="37" spans="2:43" x14ac:dyDescent="0.2">
      <c r="M37" s="311"/>
      <c r="N37" s="304" t="s">
        <v>34</v>
      </c>
      <c r="O37" s="304"/>
      <c r="P37" s="304"/>
      <c r="Q37" s="304"/>
      <c r="R37" s="83"/>
      <c r="S37" s="304" t="s">
        <v>34</v>
      </c>
      <c r="T37" s="304"/>
      <c r="U37" s="304"/>
      <c r="V37" s="304"/>
      <c r="W37" s="304"/>
      <c r="X37" s="83"/>
      <c r="Y37" s="338" t="s">
        <v>34</v>
      </c>
      <c r="Z37" s="338"/>
      <c r="AA37" s="99"/>
      <c r="AB37" s="51"/>
      <c r="AC37" s="51"/>
      <c r="AD37" s="339"/>
      <c r="AE37" s="83"/>
      <c r="AF37" s="304" t="s">
        <v>34</v>
      </c>
      <c r="AG37" s="304"/>
      <c r="AH37" s="304"/>
      <c r="AI37" s="304"/>
      <c r="AJ37" s="304"/>
      <c r="AK37" s="311"/>
    </row>
    <row r="38" spans="2:43" ht="28.5" x14ac:dyDescent="0.2">
      <c r="B38" s="1">
        <f>H38-AL38</f>
        <v>0</v>
      </c>
      <c r="C38" s="1">
        <f>SUM(H38:H39)</f>
        <v>616</v>
      </c>
      <c r="D38" s="1">
        <f>SUM(I38:I39)</f>
        <v>447</v>
      </c>
      <c r="E38" s="1">
        <f>SUM(J38:J39)</f>
        <v>256</v>
      </c>
      <c r="F38" s="1">
        <f>SUM(K38:K39)</f>
        <v>642</v>
      </c>
      <c r="H38" s="1">
        <f>Q38</f>
        <v>616</v>
      </c>
      <c r="I38" s="1">
        <f>T38+U38</f>
        <v>328</v>
      </c>
      <c r="K38" s="1">
        <f>AF38+AG38</f>
        <v>486</v>
      </c>
      <c r="M38" s="311"/>
      <c r="N38" s="29"/>
      <c r="O38" s="26"/>
      <c r="P38" s="26"/>
      <c r="Q38" s="100">
        <v>616</v>
      </c>
      <c r="R38" s="83"/>
      <c r="S38" s="46" t="s">
        <v>148</v>
      </c>
      <c r="T38" s="310">
        <v>301</v>
      </c>
      <c r="U38" s="1">
        <v>27</v>
      </c>
      <c r="W38" s="340" t="s">
        <v>149</v>
      </c>
      <c r="X38" s="83"/>
      <c r="Z38" s="51"/>
      <c r="AA38" s="51"/>
      <c r="AB38" s="51"/>
      <c r="AC38" s="51"/>
      <c r="AD38" s="341"/>
      <c r="AE38" s="83"/>
      <c r="AF38" s="309">
        <v>320</v>
      </c>
      <c r="AG38" s="1">
        <v>166</v>
      </c>
      <c r="AI38" s="92" t="s">
        <v>145</v>
      </c>
      <c r="AJ38" s="342">
        <v>156</v>
      </c>
      <c r="AK38" s="311"/>
      <c r="AL38" s="1">
        <f>Q38</f>
        <v>616</v>
      </c>
      <c r="AM38" s="1">
        <f>U38</f>
        <v>27</v>
      </c>
      <c r="AO38" s="1">
        <f>AG38+AJ38</f>
        <v>322</v>
      </c>
      <c r="AQ38" s="1">
        <f>AL38-H38</f>
        <v>0</v>
      </c>
    </row>
    <row r="39" spans="2:43" ht="28.5" x14ac:dyDescent="0.25">
      <c r="I39" s="1">
        <f>U39+S39</f>
        <v>119</v>
      </c>
      <c r="J39" s="1">
        <f>Y39</f>
        <v>256</v>
      </c>
      <c r="K39" s="1">
        <f>AJ38</f>
        <v>156</v>
      </c>
      <c r="M39" s="311"/>
      <c r="N39" s="101" t="s">
        <v>150</v>
      </c>
      <c r="O39" s="41"/>
      <c r="P39" s="41"/>
      <c r="Q39" s="102" t="s">
        <v>151</v>
      </c>
      <c r="R39" s="83"/>
      <c r="S39" s="103">
        <v>40</v>
      </c>
      <c r="T39" s="310"/>
      <c r="U39" s="103">
        <v>79</v>
      </c>
      <c r="V39" s="103"/>
      <c r="W39" s="340"/>
      <c r="X39" s="83"/>
      <c r="Y39" s="1">
        <v>256</v>
      </c>
      <c r="Z39" s="104"/>
      <c r="AA39" s="51"/>
      <c r="AB39" s="51"/>
      <c r="AC39" s="51"/>
      <c r="AD39" s="341"/>
      <c r="AE39" s="83"/>
      <c r="AF39" s="309"/>
      <c r="AG39" s="92" t="s">
        <v>145</v>
      </c>
      <c r="AH39" s="92" t="s">
        <v>145</v>
      </c>
      <c r="AI39" s="72" t="s">
        <v>135</v>
      </c>
      <c r="AJ39" s="342"/>
      <c r="AK39" s="311"/>
      <c r="AM39" s="1">
        <f>U39+T38+S39</f>
        <v>420</v>
      </c>
      <c r="AN39" s="1">
        <f>Y39</f>
        <v>256</v>
      </c>
      <c r="AO39" s="1">
        <f>AF38</f>
        <v>320</v>
      </c>
    </row>
    <row r="40" spans="2:43" ht="15" x14ac:dyDescent="0.25">
      <c r="C40" s="106">
        <f>2500-C38-C41</f>
        <v>1519</v>
      </c>
      <c r="H40" s="106">
        <f>2500-H38-H41</f>
        <v>1519</v>
      </c>
      <c r="M40" s="311"/>
      <c r="N40" s="101" t="s">
        <v>152</v>
      </c>
      <c r="O40" s="41"/>
      <c r="P40" s="41"/>
      <c r="Q40" s="87"/>
      <c r="R40" s="83"/>
      <c r="S40" s="304" t="s">
        <v>36</v>
      </c>
      <c r="T40" s="304"/>
      <c r="U40" s="304"/>
      <c r="V40" s="304"/>
      <c r="W40" s="304"/>
      <c r="X40" s="83"/>
      <c r="Y40" s="304" t="s">
        <v>36</v>
      </c>
      <c r="Z40" s="304"/>
      <c r="AA40" s="304"/>
      <c r="AB40" s="304" t="s">
        <v>36</v>
      </c>
      <c r="AC40" s="304"/>
      <c r="AD40" s="304"/>
      <c r="AE40" s="83"/>
      <c r="AF40" s="304" t="s">
        <v>36</v>
      </c>
      <c r="AG40" s="304"/>
      <c r="AH40" s="304"/>
      <c r="AI40" s="304"/>
      <c r="AJ40" s="304"/>
      <c r="AK40" s="311"/>
      <c r="AL40" s="106">
        <f>2500-AL38-AL42</f>
        <v>1519</v>
      </c>
    </row>
    <row r="41" spans="2:43" ht="14.85" customHeight="1" x14ac:dyDescent="0.2">
      <c r="B41" s="1">
        <f>H41-AL41</f>
        <v>365</v>
      </c>
      <c r="C41" s="1">
        <f>SUM(H41:H42)</f>
        <v>365</v>
      </c>
      <c r="D41" s="1">
        <f>SUM(I41:I42)</f>
        <v>1202</v>
      </c>
      <c r="E41" s="1">
        <f>SUM(J41:J42)</f>
        <v>0</v>
      </c>
      <c r="F41" s="1">
        <f>SUM(K41:K42)</f>
        <v>0</v>
      </c>
      <c r="H41" s="1">
        <f>Q41</f>
        <v>365</v>
      </c>
      <c r="I41" s="1">
        <f>S41+W41</f>
        <v>551</v>
      </c>
      <c r="M41" s="311"/>
      <c r="N41" s="49"/>
      <c r="O41" s="33"/>
      <c r="P41" s="33"/>
      <c r="Q41" s="107">
        <v>365</v>
      </c>
      <c r="R41" s="83"/>
      <c r="S41" s="310">
        <v>170</v>
      </c>
      <c r="T41" s="108"/>
      <c r="U41" s="335" t="s">
        <v>153</v>
      </c>
      <c r="V41" s="108"/>
      <c r="W41" s="108">
        <v>381</v>
      </c>
      <c r="X41" s="65"/>
      <c r="Y41" s="343" t="s">
        <v>154</v>
      </c>
      <c r="Z41" s="109"/>
      <c r="AA41" s="72" t="s">
        <v>155</v>
      </c>
      <c r="AB41" s="110"/>
      <c r="AC41" s="110" t="s">
        <v>156</v>
      </c>
      <c r="AD41" s="110"/>
      <c r="AE41" s="83"/>
      <c r="AF41" s="110"/>
      <c r="AG41" s="110"/>
      <c r="AH41" s="110"/>
      <c r="AI41" s="110"/>
      <c r="AJ41" s="110"/>
      <c r="AK41" s="311"/>
      <c r="AM41" s="1">
        <f>W41+S41</f>
        <v>551</v>
      </c>
    </row>
    <row r="42" spans="2:43" ht="15" x14ac:dyDescent="0.25">
      <c r="I42" s="1">
        <f>T42+V42</f>
        <v>651</v>
      </c>
      <c r="M42" s="311"/>
      <c r="N42" s="94"/>
      <c r="O42" s="61"/>
      <c r="P42" s="61"/>
      <c r="Q42" s="95" t="s">
        <v>157</v>
      </c>
      <c r="R42" s="83"/>
      <c r="S42" s="310"/>
      <c r="T42" s="111">
        <v>186</v>
      </c>
      <c r="U42" s="335"/>
      <c r="V42" s="111">
        <v>465</v>
      </c>
      <c r="W42" s="111"/>
      <c r="X42" s="65"/>
      <c r="Y42" s="343"/>
      <c r="Z42" s="109"/>
      <c r="AA42" s="110"/>
      <c r="AB42" s="110"/>
      <c r="AC42" s="110"/>
      <c r="AD42" s="110"/>
      <c r="AE42" s="83"/>
      <c r="AF42" s="266" t="s">
        <v>37</v>
      </c>
      <c r="AG42" s="110"/>
      <c r="AH42" s="110"/>
      <c r="AI42" s="110"/>
      <c r="AJ42" s="112"/>
      <c r="AK42" s="311"/>
      <c r="AL42" s="1">
        <f>Q41</f>
        <v>365</v>
      </c>
      <c r="AM42" s="1">
        <f>T42+V42</f>
        <v>651</v>
      </c>
    </row>
    <row r="43" spans="2:43" x14ac:dyDescent="0.2">
      <c r="C43" s="1">
        <f>SUM(C6:C41)</f>
        <v>10622</v>
      </c>
      <c r="D43" s="1">
        <f>SUM(D6:D41)</f>
        <v>8147</v>
      </c>
      <c r="E43" s="1">
        <f>SUM(E6:E41)</f>
        <v>4911</v>
      </c>
      <c r="F43" s="1">
        <f>SUM(F6:F41)</f>
        <v>6250</v>
      </c>
      <c r="H43" s="1">
        <f>SUM(H6:H41)</f>
        <v>10622</v>
      </c>
      <c r="I43" s="1">
        <f>SUM(I6:I42)</f>
        <v>8452</v>
      </c>
      <c r="J43" s="1">
        <f>SUM(J6:J41)</f>
        <v>5660</v>
      </c>
      <c r="K43" s="1">
        <f>SUM(K6:K41)</f>
        <v>7554</v>
      </c>
      <c r="M43" s="311"/>
      <c r="N43" s="322" t="s">
        <v>38</v>
      </c>
      <c r="O43" s="322"/>
      <c r="P43" s="322"/>
      <c r="Q43" s="322"/>
      <c r="R43" s="83"/>
      <c r="S43" s="322" t="s">
        <v>38</v>
      </c>
      <c r="T43" s="322"/>
      <c r="U43" s="322"/>
      <c r="V43" s="322"/>
      <c r="W43" s="322"/>
      <c r="X43" s="83"/>
      <c r="Y43" s="304" t="s">
        <v>38</v>
      </c>
      <c r="Z43" s="304"/>
      <c r="AA43" s="304"/>
      <c r="AB43" s="304" t="s">
        <v>38</v>
      </c>
      <c r="AC43" s="304"/>
      <c r="AD43" s="304"/>
      <c r="AE43" s="83"/>
      <c r="AF43" s="304" t="s">
        <v>38</v>
      </c>
      <c r="AG43" s="304"/>
      <c r="AH43" s="304"/>
      <c r="AI43" s="304"/>
      <c r="AJ43" s="304"/>
      <c r="AK43" s="311"/>
      <c r="AL43" s="1">
        <f>SUM(AL6:AL42)</f>
        <v>10622</v>
      </c>
      <c r="AM43" s="1">
        <f>SUM(AM6:AM42)</f>
        <v>8452</v>
      </c>
      <c r="AN43" s="1">
        <f>SUM(AN6:AN42)</f>
        <v>5660</v>
      </c>
      <c r="AO43" s="1">
        <f>SUM(AO6:AO42)</f>
        <v>7554</v>
      </c>
    </row>
    <row r="44" spans="2:43" x14ac:dyDescent="0.2">
      <c r="C44" s="1">
        <f>C43-AH43</f>
        <v>10622</v>
      </c>
      <c r="D44" s="1">
        <f>D43-AI43</f>
        <v>8147</v>
      </c>
      <c r="E44" s="1">
        <f>E43-AJ43</f>
        <v>4911</v>
      </c>
      <c r="F44" s="1">
        <f>F43-AK43</f>
        <v>6250</v>
      </c>
      <c r="H44" s="1">
        <f>H43-AL43</f>
        <v>0</v>
      </c>
      <c r="I44" s="1">
        <f>I43-AM43</f>
        <v>0</v>
      </c>
      <c r="J44" s="1">
        <f>J43-AN43</f>
        <v>0</v>
      </c>
      <c r="K44" s="1">
        <f>K43-AO43</f>
        <v>0</v>
      </c>
      <c r="N44" s="113"/>
      <c r="O44" s="113" t="s">
        <v>39</v>
      </c>
      <c r="P44" s="113"/>
      <c r="Q44" s="113"/>
      <c r="S44" s="51"/>
      <c r="T44" s="51" t="s">
        <v>40</v>
      </c>
      <c r="U44" s="51"/>
      <c r="V44" s="51"/>
      <c r="W44" s="51"/>
      <c r="AH44" s="1" t="s">
        <v>158</v>
      </c>
    </row>
    <row r="45" spans="2:43" x14ac:dyDescent="0.2">
      <c r="N45" s="1" t="s">
        <v>159</v>
      </c>
    </row>
    <row r="46" spans="2:43" ht="15" x14ac:dyDescent="0.25">
      <c r="C46" s="1" t="s">
        <v>41</v>
      </c>
      <c r="H46" s="1" t="s">
        <v>41</v>
      </c>
      <c r="I46" s="3" t="s">
        <v>42</v>
      </c>
      <c r="N46" s="1" t="s">
        <v>160</v>
      </c>
    </row>
    <row r="47" spans="2:43" x14ac:dyDescent="0.2">
      <c r="N47" s="1" t="s">
        <v>161</v>
      </c>
    </row>
    <row r="48" spans="2:43" x14ac:dyDescent="0.2">
      <c r="N48" s="1" t="s">
        <v>162</v>
      </c>
    </row>
    <row r="50" spans="14:14" x14ac:dyDescent="0.2">
      <c r="N50" s="1" t="s">
        <v>163</v>
      </c>
    </row>
    <row r="53" spans="14:14" x14ac:dyDescent="0.2">
      <c r="N53" s="1" t="s">
        <v>164</v>
      </c>
    </row>
    <row r="54" spans="14:14" x14ac:dyDescent="0.2">
      <c r="N54" s="1" t="s">
        <v>165</v>
      </c>
    </row>
    <row r="55" spans="14:14" x14ac:dyDescent="0.2">
      <c r="N55" s="1" t="s">
        <v>166</v>
      </c>
    </row>
    <row r="56" spans="14:14" x14ac:dyDescent="0.2">
      <c r="N56" s="1" t="s">
        <v>167</v>
      </c>
    </row>
  </sheetData>
  <sheetProtection selectLockedCells="1" selectUnlockedCells="1"/>
  <mergeCells count="129">
    <mergeCell ref="N43:Q43"/>
    <mergeCell ref="S43:W43"/>
    <mergeCell ref="Y43:AA43"/>
    <mergeCell ref="AB43:AD43"/>
    <mergeCell ref="AF43:AJ43"/>
    <mergeCell ref="S40:W40"/>
    <mergeCell ref="Y40:AA40"/>
    <mergeCell ref="AB40:AD40"/>
    <mergeCell ref="AF40:AJ40"/>
    <mergeCell ref="S41:S42"/>
    <mergeCell ref="U41:U42"/>
    <mergeCell ref="Y41:Y42"/>
    <mergeCell ref="AF37:AJ37"/>
    <mergeCell ref="T38:T39"/>
    <mergeCell ref="W38:W39"/>
    <mergeCell ref="AD38:AD39"/>
    <mergeCell ref="AF38:AF39"/>
    <mergeCell ref="AJ38:AJ39"/>
    <mergeCell ref="AJ32:AJ33"/>
    <mergeCell ref="Y34:AD34"/>
    <mergeCell ref="AF34:AJ34"/>
    <mergeCell ref="N35:N36"/>
    <mergeCell ref="AD35:AD37"/>
    <mergeCell ref="AI35:AI36"/>
    <mergeCell ref="AJ35:AJ36"/>
    <mergeCell ref="N37:Q37"/>
    <mergeCell ref="S37:W37"/>
    <mergeCell ref="Y37:Z37"/>
    <mergeCell ref="AJ29:AJ30"/>
    <mergeCell ref="N31:Q31"/>
    <mergeCell ref="Y31:AA31"/>
    <mergeCell ref="AB31:AD31"/>
    <mergeCell ref="AF31:AJ31"/>
    <mergeCell ref="N32:N33"/>
    <mergeCell ref="Q32:Q35"/>
    <mergeCell ref="S32:T35"/>
    <mergeCell ref="AH32:AH33"/>
    <mergeCell ref="AI32:AI33"/>
    <mergeCell ref="N29:N30"/>
    <mergeCell ref="Q29:Q30"/>
    <mergeCell ref="S29:S30"/>
    <mergeCell ref="AF29:AF30"/>
    <mergeCell ref="AG29:AH29"/>
    <mergeCell ref="AI29:AI30"/>
    <mergeCell ref="AB27:AD27"/>
    <mergeCell ref="N28:Q28"/>
    <mergeCell ref="S28:W28"/>
    <mergeCell ref="Y28:AA28"/>
    <mergeCell ref="AB28:AD28"/>
    <mergeCell ref="AF28:AJ28"/>
    <mergeCell ref="AB25:AD25"/>
    <mergeCell ref="AF25:AJ25"/>
    <mergeCell ref="N26:N27"/>
    <mergeCell ref="Q26:Q27"/>
    <mergeCell ref="S26:S27"/>
    <mergeCell ref="T26:T27"/>
    <mergeCell ref="U26:W27"/>
    <mergeCell ref="AF26:AF27"/>
    <mergeCell ref="AH26:AI26"/>
    <mergeCell ref="Y27:AA27"/>
    <mergeCell ref="AF22:AJ22"/>
    <mergeCell ref="L23:L26"/>
    <mergeCell ref="N23:N24"/>
    <mergeCell ref="Q23:Q24"/>
    <mergeCell ref="S23:S24"/>
    <mergeCell ref="U23:W24"/>
    <mergeCell ref="AI23:AI24"/>
    <mergeCell ref="N25:Q25"/>
    <mergeCell ref="S25:W25"/>
    <mergeCell ref="Y25:AA25"/>
    <mergeCell ref="AF19:AJ19"/>
    <mergeCell ref="AK19:AK43"/>
    <mergeCell ref="N20:N21"/>
    <mergeCell ref="W20:W21"/>
    <mergeCell ref="AA20:AA21"/>
    <mergeCell ref="AB20:AB21"/>
    <mergeCell ref="AC20:AC21"/>
    <mergeCell ref="AF20:AF21"/>
    <mergeCell ref="N22:Q22"/>
    <mergeCell ref="S22:W22"/>
    <mergeCell ref="N17:N18"/>
    <mergeCell ref="W17:W18"/>
    <mergeCell ref="Y17:Y18"/>
    <mergeCell ref="AC17:AC18"/>
    <mergeCell ref="AD17:AD18"/>
    <mergeCell ref="M19:M43"/>
    <mergeCell ref="Y19:AA19"/>
    <mergeCell ref="AB19:AD19"/>
    <mergeCell ref="Y22:AA22"/>
    <mergeCell ref="AB22:AD22"/>
    <mergeCell ref="AF13:AJ13"/>
    <mergeCell ref="N14:N15"/>
    <mergeCell ref="W14:W15"/>
    <mergeCell ref="Y14:Y15"/>
    <mergeCell ref="AH15:AI15"/>
    <mergeCell ref="S16:T16"/>
    <mergeCell ref="Y16:AA16"/>
    <mergeCell ref="AB16:AD16"/>
    <mergeCell ref="AF16:AJ16"/>
    <mergeCell ref="X10:X27"/>
    <mergeCell ref="Y10:AA10"/>
    <mergeCell ref="AB10:AD10"/>
    <mergeCell ref="AF10:AJ10"/>
    <mergeCell ref="N11:N12"/>
    <mergeCell ref="S11:S12"/>
    <mergeCell ref="T11:V11"/>
    <mergeCell ref="Y11:Y12"/>
    <mergeCell ref="Y13:AA13"/>
    <mergeCell ref="AB13:AD13"/>
    <mergeCell ref="AF4:AJ4"/>
    <mergeCell ref="O5:O6"/>
    <mergeCell ref="AJ5:AJ6"/>
    <mergeCell ref="N7:Q7"/>
    <mergeCell ref="R7:R21"/>
    <mergeCell ref="S7:W7"/>
    <mergeCell ref="Y7:AA7"/>
    <mergeCell ref="AB7:AD7"/>
    <mergeCell ref="AF7:AJ7"/>
    <mergeCell ref="N8:N9"/>
    <mergeCell ref="L4:L6"/>
    <mergeCell ref="N4:Q4"/>
    <mergeCell ref="S4:W4"/>
    <mergeCell ref="Y4:AA4"/>
    <mergeCell ref="AB4:AD4"/>
    <mergeCell ref="AE4:AE24"/>
    <mergeCell ref="L8:L11"/>
    <mergeCell ref="W8:W9"/>
    <mergeCell ref="N10:Q10"/>
    <mergeCell ref="S10:W10"/>
  </mergeCells>
  <pageMargins left="0.7" right="0.7" top="0.75" bottom="0.75" header="0.51180555555555551" footer="0.51180555555555551"/>
  <pageSetup firstPageNumber="0"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AF56"/>
  <sheetViews>
    <sheetView topLeftCell="C42" zoomScale="130" zoomScaleNormal="130" workbookViewId="0">
      <selection activeCell="C4" sqref="C4"/>
    </sheetView>
  </sheetViews>
  <sheetFormatPr defaultColWidth="9.42578125" defaultRowHeight="14.25" x14ac:dyDescent="0.2"/>
  <cols>
    <col min="1" max="7" width="9.42578125" style="1"/>
    <col min="8" max="8" width="5.140625" style="1" customWidth="1"/>
    <col min="9" max="9" width="17.28515625" style="1" customWidth="1"/>
    <col min="10" max="11" width="17.85546875" style="1" customWidth="1"/>
    <col min="12" max="12" width="20.42578125" style="1" customWidth="1"/>
    <col min="13" max="13" width="4.7109375" style="1" customWidth="1"/>
    <col min="14" max="14" width="29" style="1" customWidth="1"/>
    <col min="15" max="15" width="17.28515625" style="1" customWidth="1"/>
    <col min="16" max="16" width="19.42578125" style="1" customWidth="1"/>
    <col min="17" max="17" width="17.28515625" style="1" customWidth="1"/>
    <col min="18" max="18" width="17.85546875" style="1" customWidth="1"/>
    <col min="19" max="19" width="5.140625" style="1" customWidth="1"/>
    <col min="20" max="23" width="17.28515625" style="1" customWidth="1"/>
    <col min="24" max="24" width="15.85546875" style="1" customWidth="1"/>
    <col min="25" max="25" width="17.42578125" style="1" customWidth="1"/>
    <col min="26" max="26" width="5.140625" style="1" customWidth="1"/>
    <col min="27" max="27" width="18.7109375" style="1" customWidth="1"/>
    <col min="28" max="28" width="17.28515625" style="1" customWidth="1"/>
    <col min="29" max="29" width="14.140625" style="1" customWidth="1"/>
    <col min="30" max="30" width="15.140625" style="1" customWidth="1"/>
    <col min="31" max="31" width="17.28515625" style="1" customWidth="1"/>
    <col min="32" max="32" width="5.140625" style="1" customWidth="1"/>
    <col min="33" max="16384" width="9.42578125" style="1"/>
  </cols>
  <sheetData>
    <row r="3" spans="7:31" ht="15" x14ac:dyDescent="0.25">
      <c r="T3" s="3"/>
    </row>
    <row r="4" spans="7:31" ht="14.1" customHeight="1" x14ac:dyDescent="0.2">
      <c r="G4" s="303" t="s">
        <v>113</v>
      </c>
      <c r="I4" s="304" t="s">
        <v>1</v>
      </c>
      <c r="J4" s="304"/>
      <c r="K4" s="304"/>
      <c r="L4" s="304"/>
      <c r="N4" s="304" t="s">
        <v>1</v>
      </c>
      <c r="O4" s="304"/>
      <c r="P4" s="304"/>
      <c r="Q4" s="304"/>
      <c r="R4" s="304"/>
      <c r="S4" s="6"/>
      <c r="T4" s="304" t="s">
        <v>1</v>
      </c>
      <c r="U4" s="304"/>
      <c r="V4" s="304"/>
      <c r="W4" s="304" t="s">
        <v>1</v>
      </c>
      <c r="X4" s="304"/>
      <c r="Y4" s="304"/>
      <c r="Z4" s="305" t="s">
        <v>2</v>
      </c>
      <c r="AA4" s="304" t="s">
        <v>1</v>
      </c>
      <c r="AB4" s="304"/>
      <c r="AC4" s="304"/>
      <c r="AD4" s="304"/>
      <c r="AE4" s="304"/>
    </row>
    <row r="5" spans="7:31" x14ac:dyDescent="0.2">
      <c r="G5" s="303"/>
      <c r="I5" s="7"/>
      <c r="J5" s="306">
        <v>452</v>
      </c>
      <c r="K5" s="8"/>
      <c r="L5" s="7"/>
      <c r="N5" s="7">
        <v>452</v>
      </c>
      <c r="O5" s="7"/>
      <c r="P5" s="7"/>
      <c r="Q5" s="7"/>
      <c r="R5" s="7" t="s">
        <v>114</v>
      </c>
      <c r="S5" s="6"/>
      <c r="T5" s="7"/>
      <c r="U5" s="7"/>
      <c r="V5" s="7"/>
      <c r="W5" s="7"/>
      <c r="X5" s="7"/>
      <c r="Y5" s="7"/>
      <c r="Z5" s="305"/>
      <c r="AA5" s="7"/>
      <c r="AB5" s="7"/>
      <c r="AC5" s="7"/>
      <c r="AD5" s="7"/>
      <c r="AE5" s="307"/>
    </row>
    <row r="6" spans="7:31" x14ac:dyDescent="0.2">
      <c r="G6" s="303"/>
      <c r="I6" s="7"/>
      <c r="J6" s="306"/>
      <c r="K6" s="8"/>
      <c r="L6" s="9"/>
      <c r="N6" s="6" t="s">
        <v>168</v>
      </c>
      <c r="O6" s="6" t="s">
        <v>169</v>
      </c>
      <c r="P6" s="6" t="s">
        <v>170</v>
      </c>
      <c r="Q6" s="6" t="s">
        <v>171</v>
      </c>
      <c r="R6" s="96">
        <v>58</v>
      </c>
      <c r="S6" s="6"/>
      <c r="T6" s="7"/>
      <c r="U6" s="7">
        <v>87</v>
      </c>
      <c r="V6" s="7"/>
      <c r="W6" s="7"/>
      <c r="X6" s="7"/>
      <c r="Y6" s="7"/>
      <c r="Z6" s="305"/>
      <c r="AA6" s="7"/>
      <c r="AB6" s="7"/>
      <c r="AC6" s="7"/>
      <c r="AD6" s="7"/>
      <c r="AE6" s="307"/>
    </row>
    <row r="7" spans="7:31" x14ac:dyDescent="0.2">
      <c r="I7" s="304" t="s">
        <v>4</v>
      </c>
      <c r="J7" s="304"/>
      <c r="K7" s="304"/>
      <c r="L7" s="304"/>
      <c r="M7" s="308" t="s">
        <v>5</v>
      </c>
      <c r="N7" s="304" t="s">
        <v>4</v>
      </c>
      <c r="O7" s="304"/>
      <c r="P7" s="304"/>
      <c r="Q7" s="304"/>
      <c r="R7" s="304"/>
      <c r="S7" s="6"/>
      <c r="T7" s="304" t="s">
        <v>4</v>
      </c>
      <c r="U7" s="304"/>
      <c r="V7" s="304"/>
      <c r="W7" s="304" t="s">
        <v>4</v>
      </c>
      <c r="X7" s="304"/>
      <c r="Y7" s="304"/>
      <c r="Z7" s="305"/>
      <c r="AA7" s="304" t="s">
        <v>4</v>
      </c>
      <c r="AB7" s="304"/>
      <c r="AC7" s="304"/>
      <c r="AD7" s="304"/>
      <c r="AE7" s="304"/>
    </row>
    <row r="8" spans="7:31" ht="30.75" customHeight="1" x14ac:dyDescent="0.2">
      <c r="G8" s="303" t="s">
        <v>119</v>
      </c>
      <c r="I8" s="1">
        <v>419</v>
      </c>
      <c r="J8" s="12" t="s">
        <v>172</v>
      </c>
      <c r="K8" s="55" t="s">
        <v>173</v>
      </c>
      <c r="L8" s="20" t="s">
        <v>174</v>
      </c>
      <c r="M8" s="308"/>
      <c r="N8" s="6" t="s">
        <v>175</v>
      </c>
      <c r="O8" s="267" t="s">
        <v>176</v>
      </c>
      <c r="P8" s="268" t="s">
        <v>177</v>
      </c>
      <c r="Q8" s="269" t="s">
        <v>178</v>
      </c>
      <c r="R8" s="310">
        <v>378</v>
      </c>
      <c r="S8" s="6"/>
      <c r="T8" s="7"/>
      <c r="U8" s="7"/>
      <c r="V8" s="7"/>
      <c r="W8" s="7"/>
      <c r="X8" s="7"/>
      <c r="Y8" s="7"/>
      <c r="Z8" s="305"/>
      <c r="AA8" s="7"/>
      <c r="AB8" s="7"/>
      <c r="AC8" s="7"/>
      <c r="AD8" s="7"/>
      <c r="AE8" s="7"/>
    </row>
    <row r="9" spans="7:31" ht="28.5" x14ac:dyDescent="0.2">
      <c r="G9" s="303"/>
      <c r="I9" s="37"/>
      <c r="J9" s="13" t="s">
        <v>179</v>
      </c>
      <c r="K9" s="13" t="s">
        <v>180</v>
      </c>
      <c r="L9" s="37" t="s">
        <v>181</v>
      </c>
      <c r="M9" s="308"/>
      <c r="N9" s="1" t="s">
        <v>182</v>
      </c>
      <c r="O9" s="4" t="s">
        <v>183</v>
      </c>
      <c r="P9" s="13" t="s">
        <v>184</v>
      </c>
      <c r="Q9" s="13" t="s">
        <v>185</v>
      </c>
      <c r="R9" s="310"/>
      <c r="T9" s="7"/>
      <c r="U9" s="7">
        <v>87</v>
      </c>
      <c r="V9" s="7"/>
      <c r="W9" s="7"/>
      <c r="X9" s="7"/>
      <c r="Y9" s="7"/>
      <c r="Z9" s="305"/>
      <c r="AA9" s="7"/>
      <c r="AB9" s="7"/>
      <c r="AC9" s="14">
        <v>87</v>
      </c>
      <c r="AD9" s="7"/>
      <c r="AE9" s="7"/>
    </row>
    <row r="10" spans="7:31" x14ac:dyDescent="0.2">
      <c r="G10" s="303"/>
      <c r="I10" s="304" t="s">
        <v>7</v>
      </c>
      <c r="J10" s="304"/>
      <c r="K10" s="304"/>
      <c r="L10" s="304"/>
      <c r="M10" s="308"/>
      <c r="N10" s="304" t="s">
        <v>7</v>
      </c>
      <c r="O10" s="304"/>
      <c r="P10" s="304"/>
      <c r="Q10" s="304"/>
      <c r="R10" s="304"/>
      <c r="S10" s="311" t="s">
        <v>8</v>
      </c>
      <c r="T10" s="304" t="s">
        <v>7</v>
      </c>
      <c r="U10" s="304"/>
      <c r="V10" s="304"/>
      <c r="W10" s="304" t="s">
        <v>7</v>
      </c>
      <c r="X10" s="304"/>
      <c r="Y10" s="304"/>
      <c r="Z10" s="305"/>
      <c r="AA10" s="304" t="s">
        <v>7</v>
      </c>
      <c r="AB10" s="304"/>
      <c r="AC10" s="304"/>
      <c r="AD10" s="304"/>
      <c r="AE10" s="304"/>
    </row>
    <row r="11" spans="7:31" ht="34.5" customHeight="1" x14ac:dyDescent="0.2">
      <c r="G11" s="303"/>
      <c r="I11" s="310">
        <v>362</v>
      </c>
      <c r="J11" s="15"/>
      <c r="K11" s="15"/>
      <c r="L11" s="16">
        <v>543</v>
      </c>
      <c r="M11" s="308"/>
      <c r="N11" s="312">
        <v>173</v>
      </c>
      <c r="O11" s="270" t="s">
        <v>120</v>
      </c>
      <c r="P11" s="270"/>
      <c r="Q11" s="270"/>
      <c r="R11" s="18" t="s">
        <v>186</v>
      </c>
      <c r="S11" s="311"/>
      <c r="T11" s="310">
        <v>264</v>
      </c>
      <c r="U11" s="80">
        <v>179</v>
      </c>
      <c r="V11" s="80" t="s">
        <v>187</v>
      </c>
      <c r="W11" s="80" t="s">
        <v>188</v>
      </c>
      <c r="X11" s="80">
        <v>38</v>
      </c>
      <c r="Y11" s="271" t="s">
        <v>189</v>
      </c>
      <c r="Z11" s="305"/>
      <c r="AA11" s="272" t="s">
        <v>190</v>
      </c>
      <c r="AB11" s="80" t="s">
        <v>191</v>
      </c>
      <c r="AC11" s="80" t="s">
        <v>192</v>
      </c>
      <c r="AD11" s="80" t="s">
        <v>193</v>
      </c>
      <c r="AE11" s="273"/>
    </row>
    <row r="12" spans="7:31" ht="28.5" x14ac:dyDescent="0.2">
      <c r="I12" s="310"/>
      <c r="J12" s="15"/>
      <c r="K12" s="15"/>
      <c r="L12" s="22"/>
      <c r="M12" s="308"/>
      <c r="N12" s="312"/>
      <c r="R12" s="23" t="s">
        <v>121</v>
      </c>
      <c r="S12" s="311"/>
      <c r="T12" s="310"/>
      <c r="U12" s="4" t="s">
        <v>194</v>
      </c>
      <c r="V12" s="4" t="s">
        <v>195</v>
      </c>
      <c r="W12" s="4" t="s">
        <v>196</v>
      </c>
      <c r="X12" s="4" t="s">
        <v>197</v>
      </c>
      <c r="Y12" s="274" t="s">
        <v>198</v>
      </c>
      <c r="Z12" s="305"/>
      <c r="AA12" s="275" t="s">
        <v>199</v>
      </c>
      <c r="AB12" s="4" t="s">
        <v>200</v>
      </c>
      <c r="AC12" s="4" t="s">
        <v>201</v>
      </c>
      <c r="AD12" s="4" t="s">
        <v>202</v>
      </c>
      <c r="AE12" s="274" t="s">
        <v>203</v>
      </c>
    </row>
    <row r="13" spans="7:31" x14ac:dyDescent="0.2">
      <c r="I13" s="13" t="s">
        <v>9</v>
      </c>
      <c r="L13" s="22"/>
      <c r="M13" s="308"/>
      <c r="N13" s="29">
        <v>452</v>
      </c>
      <c r="O13" s="26"/>
      <c r="P13" s="26"/>
      <c r="Q13" s="26"/>
      <c r="R13" s="27" t="s">
        <v>9</v>
      </c>
      <c r="S13" s="311"/>
      <c r="T13" s="304" t="s">
        <v>9</v>
      </c>
      <c r="U13" s="304"/>
      <c r="V13" s="304"/>
      <c r="W13" s="304" t="s">
        <v>9</v>
      </c>
      <c r="X13" s="304"/>
      <c r="Y13" s="304"/>
      <c r="Z13" s="305"/>
      <c r="AA13" s="304" t="s">
        <v>9</v>
      </c>
      <c r="AB13" s="304"/>
      <c r="AC13" s="304"/>
      <c r="AD13" s="304"/>
      <c r="AE13" s="304"/>
    </row>
    <row r="14" spans="7:31" ht="34.5" customHeight="1" x14ac:dyDescent="0.2">
      <c r="I14" s="310">
        <v>516</v>
      </c>
      <c r="J14" s="15"/>
      <c r="K14" s="15"/>
      <c r="L14" s="28">
        <v>432</v>
      </c>
      <c r="M14" s="308"/>
      <c r="N14" s="49"/>
      <c r="O14" s="30">
        <v>484</v>
      </c>
      <c r="P14" s="30"/>
      <c r="Q14" s="30"/>
      <c r="R14" s="313" t="s">
        <v>122</v>
      </c>
      <c r="S14" s="311"/>
      <c r="T14" s="310">
        <v>680</v>
      </c>
      <c r="U14" s="276"/>
      <c r="V14" s="1">
        <v>241</v>
      </c>
      <c r="W14" s="277" t="s">
        <v>132</v>
      </c>
      <c r="X14" s="78" t="s">
        <v>204</v>
      </c>
      <c r="Y14" s="20" t="s">
        <v>205</v>
      </c>
      <c r="Z14" s="305"/>
      <c r="AA14" s="80" t="s">
        <v>206</v>
      </c>
      <c r="AB14" s="80" t="s">
        <v>207</v>
      </c>
      <c r="AC14" s="80" t="s">
        <v>208</v>
      </c>
      <c r="AD14" s="80" t="s">
        <v>209</v>
      </c>
      <c r="AE14" s="80" t="s">
        <v>210</v>
      </c>
    </row>
    <row r="15" spans="7:31" ht="41.25" customHeight="1" x14ac:dyDescent="0.2">
      <c r="I15" s="310"/>
      <c r="J15" s="15"/>
      <c r="K15" s="15"/>
      <c r="L15" s="22"/>
      <c r="M15" s="308"/>
      <c r="N15" s="49"/>
      <c r="O15" s="33"/>
      <c r="P15" s="33"/>
      <c r="Q15" s="33"/>
      <c r="R15" s="313"/>
      <c r="S15" s="311"/>
      <c r="T15" s="310"/>
      <c r="U15" s="276" t="s">
        <v>11</v>
      </c>
      <c r="V15" s="276"/>
      <c r="W15" s="13">
        <v>160</v>
      </c>
      <c r="X15" s="13" t="s">
        <v>211</v>
      </c>
      <c r="Y15" s="274" t="s">
        <v>212</v>
      </c>
      <c r="Z15" s="305"/>
      <c r="AA15" s="275" t="s">
        <v>213</v>
      </c>
      <c r="AB15" s="4" t="s">
        <v>214</v>
      </c>
      <c r="AC15" s="395" t="s">
        <v>215</v>
      </c>
      <c r="AD15" s="395"/>
      <c r="AE15" s="274" t="s">
        <v>216</v>
      </c>
    </row>
    <row r="16" spans="7:31" ht="14.1" customHeight="1" x14ac:dyDescent="0.2">
      <c r="I16" s="38" t="s">
        <v>13</v>
      </c>
      <c r="J16" s="39"/>
      <c r="K16" s="39"/>
      <c r="L16" s="40"/>
      <c r="M16" s="308"/>
      <c r="N16" s="387" t="s">
        <v>10</v>
      </c>
      <c r="O16" s="387"/>
      <c r="P16" s="41"/>
      <c r="Q16" s="41"/>
      <c r="R16" s="42" t="s">
        <v>14</v>
      </c>
      <c r="S16" s="311"/>
      <c r="T16" s="304" t="s">
        <v>13</v>
      </c>
      <c r="U16" s="304"/>
      <c r="V16" s="304"/>
      <c r="W16" s="304" t="s">
        <v>13</v>
      </c>
      <c r="X16" s="304"/>
      <c r="Y16" s="304"/>
      <c r="Z16" s="305"/>
      <c r="AA16" s="304" t="s">
        <v>13</v>
      </c>
      <c r="AB16" s="304"/>
      <c r="AC16" s="304"/>
      <c r="AD16" s="304"/>
      <c r="AE16" s="304"/>
    </row>
    <row r="17" spans="1:32" ht="32.25" customHeight="1" x14ac:dyDescent="0.2">
      <c r="I17" s="310">
        <v>455</v>
      </c>
      <c r="J17" s="15"/>
      <c r="K17" s="15"/>
      <c r="L17" s="28">
        <v>403</v>
      </c>
      <c r="M17" s="308"/>
      <c r="N17" s="49"/>
      <c r="O17" s="50"/>
      <c r="P17" s="15"/>
      <c r="Q17" s="15"/>
      <c r="R17" s="315">
        <v>235</v>
      </c>
      <c r="S17" s="311"/>
      <c r="T17" s="310">
        <v>448</v>
      </c>
      <c r="U17" s="78">
        <v>46</v>
      </c>
      <c r="V17" s="44"/>
      <c r="W17" s="279" t="s">
        <v>217</v>
      </c>
      <c r="X17" s="396" t="s">
        <v>11</v>
      </c>
      <c r="Y17" s="310">
        <v>271</v>
      </c>
      <c r="Z17" s="305"/>
      <c r="AA17" s="280" t="s">
        <v>218</v>
      </c>
      <c r="AB17" s="281" t="s">
        <v>219</v>
      </c>
      <c r="AC17" s="282"/>
      <c r="AD17" s="80" t="s">
        <v>220</v>
      </c>
      <c r="AE17" s="283" t="s">
        <v>123</v>
      </c>
    </row>
    <row r="18" spans="1:32" x14ac:dyDescent="0.2">
      <c r="A18" s="1" t="s">
        <v>221</v>
      </c>
      <c r="I18" s="310"/>
      <c r="J18" s="15"/>
      <c r="K18" s="15"/>
      <c r="L18" s="22"/>
      <c r="M18" s="308"/>
      <c r="N18" s="49"/>
      <c r="O18" s="50">
        <v>508</v>
      </c>
      <c r="P18" s="15"/>
      <c r="Q18" s="15"/>
      <c r="R18" s="315"/>
      <c r="S18" s="311"/>
      <c r="T18" s="310"/>
      <c r="U18" s="13">
        <v>10</v>
      </c>
      <c r="V18" s="51" t="s">
        <v>124</v>
      </c>
      <c r="W18" s="263"/>
      <c r="X18" s="396"/>
      <c r="Y18" s="310"/>
      <c r="Z18" s="305"/>
      <c r="AA18" s="275" t="s">
        <v>222</v>
      </c>
      <c r="AB18" s="4"/>
      <c r="AC18" s="4" t="s">
        <v>223</v>
      </c>
      <c r="AD18" s="4">
        <v>31</v>
      </c>
      <c r="AE18" s="274" t="s">
        <v>224</v>
      </c>
    </row>
    <row r="19" spans="1:32" ht="22.5" customHeight="1" x14ac:dyDescent="0.2">
      <c r="H19" s="311" t="s">
        <v>125</v>
      </c>
      <c r="I19" s="38" t="s">
        <v>18</v>
      </c>
      <c r="J19" s="39"/>
      <c r="K19" s="39"/>
      <c r="L19" s="40"/>
      <c r="M19" s="308"/>
      <c r="N19" s="53">
        <v>454</v>
      </c>
      <c r="O19" s="50"/>
      <c r="P19" s="15"/>
      <c r="Q19" s="15"/>
      <c r="R19" s="42" t="s">
        <v>126</v>
      </c>
      <c r="S19" s="311"/>
      <c r="T19" s="304" t="s">
        <v>18</v>
      </c>
      <c r="U19" s="304"/>
      <c r="V19" s="304"/>
      <c r="W19" s="304" t="s">
        <v>18</v>
      </c>
      <c r="X19" s="304"/>
      <c r="Y19" s="304"/>
      <c r="Z19" s="305"/>
      <c r="AA19" s="304" t="s">
        <v>18</v>
      </c>
      <c r="AB19" s="304"/>
      <c r="AC19" s="304"/>
      <c r="AD19" s="304"/>
      <c r="AE19" s="304"/>
      <c r="AF19" s="311" t="s">
        <v>127</v>
      </c>
    </row>
    <row r="20" spans="1:32" ht="19.5" customHeight="1" x14ac:dyDescent="0.2">
      <c r="H20" s="311"/>
      <c r="I20" s="310">
        <v>354</v>
      </c>
      <c r="J20" s="15"/>
      <c r="K20" s="15"/>
      <c r="L20" s="22"/>
      <c r="M20" s="308"/>
      <c r="N20" s="49"/>
      <c r="O20" s="33"/>
      <c r="P20" s="33"/>
      <c r="Q20" s="33"/>
      <c r="R20" s="318">
        <v>275</v>
      </c>
      <c r="S20" s="311"/>
      <c r="T20" s="55">
        <v>20</v>
      </c>
      <c r="U20" s="13">
        <v>245</v>
      </c>
      <c r="V20" s="310">
        <v>205</v>
      </c>
      <c r="W20" s="319"/>
      <c r="X20" s="396" t="s">
        <v>11</v>
      </c>
      <c r="Y20" s="284" t="s">
        <v>225</v>
      </c>
      <c r="Z20" s="305"/>
      <c r="AA20" s="397" t="s">
        <v>128</v>
      </c>
      <c r="AB20" s="13" t="s">
        <v>226</v>
      </c>
      <c r="AC20" s="285" t="s">
        <v>128</v>
      </c>
      <c r="AD20" s="285"/>
      <c r="AE20" s="37">
        <v>67</v>
      </c>
      <c r="AF20" s="311"/>
    </row>
    <row r="21" spans="1:32" ht="19.5" customHeight="1" x14ac:dyDescent="0.2">
      <c r="H21" s="311"/>
      <c r="I21" s="310"/>
      <c r="J21" s="15"/>
      <c r="K21" s="15"/>
      <c r="L21" s="59">
        <v>420</v>
      </c>
      <c r="M21" s="308"/>
      <c r="N21" s="60">
        <v>561</v>
      </c>
      <c r="O21" s="61"/>
      <c r="P21" s="61"/>
      <c r="Q21" s="61"/>
      <c r="R21" s="318"/>
      <c r="S21" s="311"/>
      <c r="T21" s="55">
        <v>276</v>
      </c>
      <c r="U21" s="62" t="s">
        <v>129</v>
      </c>
      <c r="V21" s="310"/>
      <c r="W21" s="319"/>
      <c r="X21" s="396"/>
      <c r="Y21" s="63">
        <v>143</v>
      </c>
      <c r="Z21" s="305"/>
      <c r="AA21" s="397"/>
      <c r="AB21" s="285"/>
      <c r="AC21" s="285"/>
      <c r="AD21" s="285" t="s">
        <v>128</v>
      </c>
      <c r="AE21" s="37">
        <v>107</v>
      </c>
      <c r="AF21" s="311"/>
    </row>
    <row r="22" spans="1:32" ht="14.1" customHeight="1" x14ac:dyDescent="0.2">
      <c r="H22" s="311"/>
      <c r="I22" s="322" t="s">
        <v>22</v>
      </c>
      <c r="J22" s="322"/>
      <c r="K22" s="322"/>
      <c r="L22" s="322"/>
      <c r="M22" s="83"/>
      <c r="N22" s="304" t="s">
        <v>22</v>
      </c>
      <c r="O22" s="304"/>
      <c r="P22" s="304"/>
      <c r="Q22" s="304"/>
      <c r="R22" s="304"/>
      <c r="S22" s="311"/>
      <c r="T22" s="304" t="s">
        <v>22</v>
      </c>
      <c r="U22" s="304"/>
      <c r="V22" s="304"/>
      <c r="W22" s="304" t="s">
        <v>22</v>
      </c>
      <c r="X22" s="304"/>
      <c r="Y22" s="304"/>
      <c r="Z22" s="305"/>
      <c r="AA22" s="304" t="s">
        <v>22</v>
      </c>
      <c r="AB22" s="304"/>
      <c r="AC22" s="304"/>
      <c r="AD22" s="304"/>
      <c r="AE22" s="304"/>
      <c r="AF22" s="311"/>
    </row>
    <row r="23" spans="1:32" ht="14.1" customHeight="1" x14ac:dyDescent="0.2">
      <c r="G23" s="303" t="s">
        <v>130</v>
      </c>
      <c r="H23" s="311"/>
      <c r="I23" s="323">
        <v>276</v>
      </c>
      <c r="J23" s="66"/>
      <c r="K23" s="66"/>
      <c r="L23" s="398" t="s">
        <v>128</v>
      </c>
      <c r="M23" s="65"/>
      <c r="N23" s="388" t="s">
        <v>39</v>
      </c>
      <c r="P23" s="389" t="s">
        <v>131</v>
      </c>
      <c r="Q23" s="389"/>
      <c r="R23" s="389"/>
      <c r="S23" s="311"/>
      <c r="T23" s="1">
        <v>345</v>
      </c>
      <c r="U23" s="32" t="s">
        <v>132</v>
      </c>
      <c r="V23" s="67"/>
      <c r="W23" s="68"/>
      <c r="X23" s="68"/>
      <c r="Y23" s="68"/>
      <c r="Z23" s="305"/>
      <c r="AA23" s="13">
        <v>320</v>
      </c>
      <c r="AB23" s="286" t="s">
        <v>227</v>
      </c>
      <c r="AC23" s="1">
        <v>26</v>
      </c>
      <c r="AD23" s="331">
        <v>274</v>
      </c>
      <c r="AE23" s="37">
        <v>109</v>
      </c>
      <c r="AF23" s="311"/>
    </row>
    <row r="24" spans="1:32" x14ac:dyDescent="0.2">
      <c r="G24" s="303"/>
      <c r="H24" s="311"/>
      <c r="I24" s="323"/>
      <c r="J24" s="15"/>
      <c r="K24" s="15"/>
      <c r="L24" s="398"/>
      <c r="M24" s="65"/>
      <c r="N24" s="388"/>
      <c r="P24" s="389"/>
      <c r="Q24" s="389"/>
      <c r="R24" s="389"/>
      <c r="S24" s="311"/>
      <c r="T24" s="68"/>
      <c r="U24" s="68"/>
      <c r="V24" s="68"/>
      <c r="W24" s="71"/>
      <c r="X24" s="71"/>
      <c r="Y24" s="71"/>
      <c r="Z24" s="305"/>
      <c r="AA24" s="32" t="s">
        <v>228</v>
      </c>
      <c r="AB24" s="13" t="s">
        <v>229</v>
      </c>
      <c r="AC24" s="72" t="s">
        <v>135</v>
      </c>
      <c r="AD24" s="331"/>
      <c r="AE24" s="32" t="s">
        <v>136</v>
      </c>
      <c r="AF24" s="311"/>
    </row>
    <row r="25" spans="1:32" ht="14.1" customHeight="1" x14ac:dyDescent="0.2">
      <c r="G25" s="303"/>
      <c r="H25" s="311"/>
      <c r="I25" s="390" t="s">
        <v>24</v>
      </c>
      <c r="J25" s="390"/>
      <c r="K25" s="390"/>
      <c r="L25" s="390"/>
      <c r="M25" s="65"/>
      <c r="N25" s="304" t="s">
        <v>24</v>
      </c>
      <c r="O25" s="304"/>
      <c r="P25" s="304"/>
      <c r="Q25" s="304"/>
      <c r="R25" s="304"/>
      <c r="S25" s="311"/>
      <c r="T25" s="328"/>
      <c r="U25" s="328"/>
      <c r="V25" s="328"/>
      <c r="W25" s="328"/>
      <c r="X25" s="328"/>
      <c r="Y25" s="328"/>
      <c r="Z25" s="65"/>
      <c r="AA25" s="322" t="s">
        <v>24</v>
      </c>
      <c r="AB25" s="322"/>
      <c r="AC25" s="322"/>
      <c r="AD25" s="322"/>
      <c r="AE25" s="322"/>
      <c r="AF25" s="311"/>
    </row>
    <row r="26" spans="1:32" ht="17.25" customHeight="1" x14ac:dyDescent="0.2">
      <c r="G26" s="303"/>
      <c r="H26" s="311"/>
      <c r="I26" s="330">
        <v>266</v>
      </c>
      <c r="J26" s="15"/>
      <c r="K26" s="15"/>
      <c r="L26" s="330">
        <v>503</v>
      </c>
      <c r="M26" s="65"/>
      <c r="N26" s="391">
        <v>186</v>
      </c>
      <c r="O26" s="392">
        <v>175</v>
      </c>
      <c r="P26" s="389" t="s">
        <v>138</v>
      </c>
      <c r="Q26" s="389"/>
      <c r="R26" s="389"/>
      <c r="S26" s="311"/>
      <c r="T26" s="71"/>
      <c r="U26" s="71"/>
      <c r="V26" s="71"/>
      <c r="W26" s="71"/>
      <c r="X26" s="71"/>
      <c r="Y26" s="71"/>
      <c r="Z26" s="65"/>
      <c r="AA26" s="396" t="s">
        <v>11</v>
      </c>
      <c r="AB26" s="78" t="s">
        <v>230</v>
      </c>
      <c r="AC26" s="393" t="s">
        <v>231</v>
      </c>
      <c r="AD26" s="393"/>
      <c r="AE26" s="271" t="s">
        <v>232</v>
      </c>
      <c r="AF26" s="311"/>
    </row>
    <row r="27" spans="1:32" ht="14.1" customHeight="1" x14ac:dyDescent="0.2">
      <c r="H27" s="311"/>
      <c r="I27" s="330"/>
      <c r="J27" s="15"/>
      <c r="K27" s="15"/>
      <c r="L27" s="330"/>
      <c r="M27" s="65"/>
      <c r="N27" s="391"/>
      <c r="O27" s="392"/>
      <c r="P27" s="389"/>
      <c r="Q27" s="389"/>
      <c r="R27" s="389"/>
      <c r="S27" s="311"/>
      <c r="T27" s="287" t="s">
        <v>26</v>
      </c>
      <c r="U27" s="287"/>
      <c r="V27" s="287"/>
      <c r="W27" s="328" t="s">
        <v>26</v>
      </c>
      <c r="X27" s="328"/>
      <c r="Y27" s="328"/>
      <c r="Z27" s="65"/>
      <c r="AA27" s="396"/>
      <c r="AB27" s="13" t="s">
        <v>233</v>
      </c>
      <c r="AC27" s="13" t="s">
        <v>234</v>
      </c>
      <c r="AD27" s="13" t="s">
        <v>235</v>
      </c>
      <c r="AE27" s="37" t="s">
        <v>236</v>
      </c>
      <c r="AF27" s="311"/>
    </row>
    <row r="28" spans="1:32" x14ac:dyDescent="0.2">
      <c r="H28" s="311"/>
      <c r="I28" s="304" t="s">
        <v>27</v>
      </c>
      <c r="J28" s="304"/>
      <c r="K28" s="304"/>
      <c r="L28" s="304"/>
      <c r="M28" s="65"/>
      <c r="N28" s="322" t="s">
        <v>27</v>
      </c>
      <c r="O28" s="322"/>
      <c r="P28" s="322"/>
      <c r="Q28" s="322"/>
      <c r="R28" s="322"/>
      <c r="S28" s="65"/>
      <c r="T28" s="328"/>
      <c r="U28" s="328"/>
      <c r="V28" s="328"/>
      <c r="W28" s="328"/>
      <c r="X28" s="328"/>
      <c r="Y28" s="328"/>
      <c r="Z28" s="83"/>
      <c r="AA28" s="304" t="s">
        <v>27</v>
      </c>
      <c r="AB28" s="304"/>
      <c r="AC28" s="304"/>
      <c r="AD28" s="304"/>
      <c r="AE28" s="304"/>
      <c r="AF28" s="311"/>
    </row>
    <row r="29" spans="1:32" ht="14.1" customHeight="1" x14ac:dyDescent="0.2">
      <c r="H29" s="311"/>
      <c r="I29" s="310">
        <v>269</v>
      </c>
      <c r="J29" s="15"/>
      <c r="K29" s="15"/>
      <c r="L29" s="332" t="s">
        <v>139</v>
      </c>
      <c r="M29" s="83"/>
      <c r="N29" s="399" t="s">
        <v>140</v>
      </c>
      <c r="O29" s="26">
        <v>96</v>
      </c>
      <c r="P29" s="26">
        <v>96</v>
      </c>
      <c r="Q29" s="84" t="s">
        <v>141</v>
      </c>
      <c r="R29" s="85"/>
      <c r="T29" s="71"/>
      <c r="U29" s="71"/>
      <c r="V29" s="71"/>
      <c r="W29" s="71"/>
      <c r="X29" s="71"/>
      <c r="Y29" s="71"/>
      <c r="Z29" s="83"/>
      <c r="AA29" s="396" t="s">
        <v>11</v>
      </c>
      <c r="AB29" s="86">
        <v>655</v>
      </c>
      <c r="AC29" s="288" t="s">
        <v>237</v>
      </c>
      <c r="AD29" s="335" t="s">
        <v>142</v>
      </c>
      <c r="AE29" s="336" t="s">
        <v>143</v>
      </c>
      <c r="AF29" s="311"/>
    </row>
    <row r="30" spans="1:32" x14ac:dyDescent="0.2">
      <c r="H30" s="311"/>
      <c r="I30" s="310"/>
      <c r="J30" s="15"/>
      <c r="K30" s="15"/>
      <c r="L30" s="332"/>
      <c r="M30" s="83"/>
      <c r="N30" s="399"/>
      <c r="O30" s="61">
        <v>164</v>
      </c>
      <c r="P30" s="61"/>
      <c r="Q30" s="33"/>
      <c r="R30" s="87"/>
      <c r="T30" s="71"/>
      <c r="U30" s="71"/>
      <c r="V30" s="71"/>
      <c r="W30" s="71"/>
      <c r="X30" s="71"/>
      <c r="Y30" s="71"/>
      <c r="Z30" s="83"/>
      <c r="AA30" s="396"/>
      <c r="AB30" s="88">
        <v>24</v>
      </c>
      <c r="AC30" s="1">
        <v>51</v>
      </c>
      <c r="AD30" s="335"/>
      <c r="AE30" s="336"/>
      <c r="AF30" s="311"/>
    </row>
    <row r="31" spans="1:32" x14ac:dyDescent="0.2">
      <c r="H31" s="311"/>
      <c r="I31" s="304" t="s">
        <v>29</v>
      </c>
      <c r="J31" s="304"/>
      <c r="K31" s="304"/>
      <c r="L31" s="304"/>
      <c r="M31" s="83"/>
      <c r="N31" s="29"/>
      <c r="R31" s="87"/>
      <c r="T31" s="328"/>
      <c r="U31" s="328"/>
      <c r="V31" s="328"/>
      <c r="W31" s="328"/>
      <c r="X31" s="328"/>
      <c r="Y31" s="328"/>
      <c r="Z31" s="83"/>
      <c r="AA31" s="304" t="s">
        <v>29</v>
      </c>
      <c r="AB31" s="304"/>
      <c r="AC31" s="304"/>
      <c r="AD31" s="304"/>
      <c r="AE31" s="304"/>
      <c r="AF31" s="311"/>
    </row>
    <row r="32" spans="1:32" ht="15" customHeight="1" x14ac:dyDescent="0.2">
      <c r="H32" s="311"/>
      <c r="I32" s="310">
        <v>259</v>
      </c>
      <c r="J32" s="89">
        <v>209</v>
      </c>
      <c r="K32" s="89"/>
      <c r="L32" s="337">
        <v>1000</v>
      </c>
      <c r="M32" s="83"/>
      <c r="N32" s="314">
        <v>1080</v>
      </c>
      <c r="O32" s="314"/>
      <c r="P32" s="4"/>
      <c r="Q32" s="4"/>
      <c r="R32" s="87"/>
      <c r="S32" s="90"/>
      <c r="T32" s="71"/>
      <c r="U32" s="71"/>
      <c r="V32" s="71"/>
      <c r="W32" s="71"/>
      <c r="X32" s="71"/>
      <c r="Y32" s="71"/>
      <c r="Z32" s="83"/>
      <c r="AA32" s="62" t="s">
        <v>144</v>
      </c>
      <c r="AC32" s="396" t="s">
        <v>11</v>
      </c>
      <c r="AD32" s="310">
        <v>490</v>
      </c>
      <c r="AE32" s="310">
        <v>422</v>
      </c>
      <c r="AF32" s="311"/>
    </row>
    <row r="33" spans="8:32" x14ac:dyDescent="0.2">
      <c r="H33" s="311"/>
      <c r="I33" s="310"/>
      <c r="J33" s="15"/>
      <c r="K33" s="15"/>
      <c r="L33" s="337"/>
      <c r="M33" s="83"/>
      <c r="N33" s="314"/>
      <c r="O33" s="314"/>
      <c r="P33" s="4"/>
      <c r="Q33" s="4"/>
      <c r="R33" s="87"/>
      <c r="S33" s="90"/>
      <c r="T33" s="91"/>
      <c r="U33" s="91"/>
      <c r="V33" s="91"/>
      <c r="W33" s="91"/>
      <c r="X33" s="91"/>
      <c r="Y33" s="91"/>
      <c r="Z33" s="83"/>
      <c r="AA33" s="1">
        <v>276</v>
      </c>
      <c r="AB33" s="92" t="s">
        <v>145</v>
      </c>
      <c r="AC33" s="396"/>
      <c r="AD33" s="310"/>
      <c r="AE33" s="310"/>
      <c r="AF33" s="311"/>
    </row>
    <row r="34" spans="8:32" x14ac:dyDescent="0.2">
      <c r="H34" s="311"/>
      <c r="I34" s="38" t="s">
        <v>30</v>
      </c>
      <c r="J34" s="39"/>
      <c r="K34" s="39"/>
      <c r="L34" s="337"/>
      <c r="M34" s="83"/>
      <c r="N34" s="314"/>
      <c r="O34" s="314"/>
      <c r="P34" s="4"/>
      <c r="Q34" s="4"/>
      <c r="R34" s="87"/>
      <c r="S34" s="90"/>
      <c r="T34" s="338" t="s">
        <v>30</v>
      </c>
      <c r="U34" s="338"/>
      <c r="V34" s="338"/>
      <c r="W34" s="338"/>
      <c r="X34" s="338"/>
      <c r="Y34" s="338"/>
      <c r="Z34" s="83"/>
      <c r="AA34" s="304" t="s">
        <v>30</v>
      </c>
      <c r="AB34" s="304"/>
      <c r="AC34" s="304"/>
      <c r="AD34" s="304"/>
      <c r="AE34" s="304"/>
      <c r="AF34" s="311"/>
    </row>
    <row r="35" spans="8:32" ht="15" customHeight="1" x14ac:dyDescent="0.2">
      <c r="H35" s="311"/>
      <c r="I35" s="310">
        <v>274</v>
      </c>
      <c r="J35" s="32" t="s">
        <v>146</v>
      </c>
      <c r="K35" s="32"/>
      <c r="L35" s="337"/>
      <c r="M35" s="83"/>
      <c r="N35" s="314"/>
      <c r="O35" s="314"/>
      <c r="P35" s="4"/>
      <c r="Q35" s="4"/>
      <c r="R35" s="87"/>
      <c r="S35" s="83"/>
      <c r="T35" s="1">
        <v>338</v>
      </c>
      <c r="U35" s="13"/>
      <c r="V35" s="51"/>
      <c r="W35" s="51"/>
      <c r="X35" s="93"/>
      <c r="Y35" s="339">
        <v>211</v>
      </c>
      <c r="Z35" s="83"/>
      <c r="AA35" s="1">
        <v>158</v>
      </c>
      <c r="AB35" s="1">
        <v>120</v>
      </c>
      <c r="AD35" s="396" t="s">
        <v>11</v>
      </c>
      <c r="AE35" s="310">
        <v>202</v>
      </c>
      <c r="AF35" s="311"/>
    </row>
    <row r="36" spans="8:32" ht="15" x14ac:dyDescent="0.2">
      <c r="H36" s="311"/>
      <c r="I36" s="310"/>
      <c r="J36" s="15"/>
      <c r="K36" s="15"/>
      <c r="L36" s="37">
        <v>331</v>
      </c>
      <c r="M36" s="83"/>
      <c r="N36" s="94"/>
      <c r="O36" s="72" t="s">
        <v>32</v>
      </c>
      <c r="P36" s="72"/>
      <c r="Q36" s="72"/>
      <c r="R36" s="95"/>
      <c r="S36" s="83"/>
      <c r="T36" s="6"/>
      <c r="U36" s="6">
        <v>219</v>
      </c>
      <c r="V36" s="97" t="s">
        <v>147</v>
      </c>
      <c r="W36" s="51"/>
      <c r="X36" s="51"/>
      <c r="Y36" s="339"/>
      <c r="Z36" s="83"/>
      <c r="AA36" s="1">
        <v>94</v>
      </c>
      <c r="AB36" s="98" t="s">
        <v>145</v>
      </c>
      <c r="AC36" s="98" t="s">
        <v>145</v>
      </c>
      <c r="AD36" s="396"/>
      <c r="AE36" s="310"/>
      <c r="AF36" s="311"/>
    </row>
    <row r="37" spans="8:32" x14ac:dyDescent="0.2">
      <c r="H37" s="311"/>
      <c r="I37" s="304" t="s">
        <v>34</v>
      </c>
      <c r="J37" s="304"/>
      <c r="K37" s="304"/>
      <c r="L37" s="304"/>
      <c r="M37" s="83"/>
      <c r="N37" s="304" t="s">
        <v>34</v>
      </c>
      <c r="O37" s="304"/>
      <c r="P37" s="304"/>
      <c r="Q37" s="304"/>
      <c r="R37" s="304"/>
      <c r="S37" s="83"/>
      <c r="T37" s="338" t="s">
        <v>34</v>
      </c>
      <c r="U37" s="338"/>
      <c r="V37" s="99"/>
      <c r="W37" s="51"/>
      <c r="X37" s="51"/>
      <c r="Y37" s="339"/>
      <c r="Z37" s="83"/>
      <c r="AA37" s="304" t="s">
        <v>34</v>
      </c>
      <c r="AB37" s="304"/>
      <c r="AC37" s="304"/>
      <c r="AD37" s="304"/>
      <c r="AE37" s="304"/>
      <c r="AF37" s="311"/>
    </row>
    <row r="38" spans="8:32" x14ac:dyDescent="0.2">
      <c r="H38" s="311"/>
      <c r="I38" s="29"/>
      <c r="J38" s="26"/>
      <c r="K38" s="26"/>
      <c r="L38" s="100">
        <v>616</v>
      </c>
      <c r="M38" s="83"/>
      <c r="N38" s="46" t="s">
        <v>148</v>
      </c>
      <c r="O38" s="310">
        <v>301</v>
      </c>
      <c r="P38" s="1">
        <v>27</v>
      </c>
      <c r="R38" s="340" t="s">
        <v>149</v>
      </c>
      <c r="S38" s="83"/>
      <c r="U38" s="51"/>
      <c r="V38" s="51"/>
      <c r="W38" s="51"/>
      <c r="X38" s="51"/>
      <c r="Y38" s="341"/>
      <c r="Z38" s="83"/>
      <c r="AA38" s="309">
        <v>320</v>
      </c>
      <c r="AB38" s="1">
        <v>166</v>
      </c>
      <c r="AD38" s="92" t="s">
        <v>145</v>
      </c>
      <c r="AE38" s="342">
        <v>156</v>
      </c>
      <c r="AF38" s="311"/>
    </row>
    <row r="39" spans="8:32" ht="15" x14ac:dyDescent="0.25">
      <c r="H39" s="311"/>
      <c r="I39" s="101" t="s">
        <v>150</v>
      </c>
      <c r="J39" s="41"/>
      <c r="K39" s="41"/>
      <c r="L39" s="102" t="s">
        <v>151</v>
      </c>
      <c r="M39" s="83"/>
      <c r="N39" s="103">
        <v>40</v>
      </c>
      <c r="O39" s="310"/>
      <c r="P39" s="103">
        <v>79</v>
      </c>
      <c r="Q39" s="103"/>
      <c r="R39" s="340"/>
      <c r="S39" s="83"/>
      <c r="T39" s="1">
        <v>256</v>
      </c>
      <c r="U39" s="104"/>
      <c r="V39" s="51"/>
      <c r="W39" s="51"/>
      <c r="X39" s="51"/>
      <c r="Y39" s="341"/>
      <c r="Z39" s="83"/>
      <c r="AA39" s="309"/>
      <c r="AB39" s="92" t="s">
        <v>145</v>
      </c>
      <c r="AC39" s="92" t="s">
        <v>145</v>
      </c>
      <c r="AD39" s="72" t="s">
        <v>135</v>
      </c>
      <c r="AE39" s="342"/>
      <c r="AF39" s="311"/>
    </row>
    <row r="40" spans="8:32" x14ac:dyDescent="0.2">
      <c r="H40" s="311"/>
      <c r="I40" s="101" t="s">
        <v>152</v>
      </c>
      <c r="J40" s="41"/>
      <c r="K40" s="41"/>
      <c r="L40" s="87"/>
      <c r="M40" s="83"/>
      <c r="N40" s="304" t="s">
        <v>36</v>
      </c>
      <c r="O40" s="304"/>
      <c r="P40" s="304"/>
      <c r="Q40" s="304"/>
      <c r="R40" s="304"/>
      <c r="S40" s="83"/>
      <c r="T40" s="304" t="s">
        <v>36</v>
      </c>
      <c r="U40" s="304"/>
      <c r="V40" s="304"/>
      <c r="W40" s="304" t="s">
        <v>36</v>
      </c>
      <c r="X40" s="304"/>
      <c r="Y40" s="304"/>
      <c r="Z40" s="83"/>
      <c r="AA40" s="304" t="s">
        <v>36</v>
      </c>
      <c r="AB40" s="304"/>
      <c r="AC40" s="304"/>
      <c r="AD40" s="304"/>
      <c r="AE40" s="304"/>
      <c r="AF40" s="311"/>
    </row>
    <row r="41" spans="8:32" ht="14.85" customHeight="1" x14ac:dyDescent="0.2">
      <c r="H41" s="311"/>
      <c r="I41" s="49"/>
      <c r="J41" s="33"/>
      <c r="K41" s="33"/>
      <c r="L41" s="107">
        <v>365</v>
      </c>
      <c r="M41" s="83"/>
      <c r="N41" s="310">
        <v>170</v>
      </c>
      <c r="O41" s="108"/>
      <c r="P41" s="335" t="s">
        <v>238</v>
      </c>
      <c r="Q41" s="108"/>
      <c r="R41" s="56">
        <v>381</v>
      </c>
      <c r="S41" s="65"/>
      <c r="T41" s="343" t="s">
        <v>154</v>
      </c>
      <c r="U41" s="109"/>
      <c r="V41" s="72" t="s">
        <v>155</v>
      </c>
      <c r="W41" s="110"/>
      <c r="X41" s="110" t="s">
        <v>156</v>
      </c>
      <c r="Y41" s="110"/>
      <c r="Z41" s="83"/>
      <c r="AA41" s="110"/>
      <c r="AB41" s="110"/>
      <c r="AC41" s="110"/>
      <c r="AD41" s="110"/>
      <c r="AE41" s="110"/>
      <c r="AF41" s="311"/>
    </row>
    <row r="42" spans="8:32" ht="15" x14ac:dyDescent="0.25">
      <c r="H42" s="311"/>
      <c r="I42" s="94"/>
      <c r="J42" s="61"/>
      <c r="K42" s="61"/>
      <c r="L42" s="95" t="s">
        <v>157</v>
      </c>
      <c r="M42" s="83"/>
      <c r="N42" s="310"/>
      <c r="O42" s="111">
        <v>186</v>
      </c>
      <c r="P42" s="335"/>
      <c r="Q42" s="111">
        <v>465</v>
      </c>
      <c r="R42" s="63"/>
      <c r="S42" s="65"/>
      <c r="T42" s="343"/>
      <c r="U42" s="109"/>
      <c r="V42" s="110"/>
      <c r="W42" s="110"/>
      <c r="X42" s="110"/>
      <c r="Y42" s="110"/>
      <c r="Z42" s="83"/>
      <c r="AA42" s="266" t="s">
        <v>37</v>
      </c>
      <c r="AB42" s="110"/>
      <c r="AC42" s="110"/>
      <c r="AD42" s="110"/>
      <c r="AE42" s="112" t="s">
        <v>239</v>
      </c>
      <c r="AF42" s="311"/>
    </row>
    <row r="43" spans="8:32" x14ac:dyDescent="0.2">
      <c r="H43" s="311"/>
      <c r="I43" s="322" t="s">
        <v>38</v>
      </c>
      <c r="J43" s="322"/>
      <c r="K43" s="322"/>
      <c r="L43" s="322"/>
      <c r="M43" s="83"/>
      <c r="N43" s="322" t="s">
        <v>38</v>
      </c>
      <c r="O43" s="322"/>
      <c r="P43" s="322"/>
      <c r="Q43" s="322"/>
      <c r="R43" s="322"/>
      <c r="S43" s="83"/>
      <c r="T43" s="304" t="s">
        <v>38</v>
      </c>
      <c r="U43" s="304"/>
      <c r="V43" s="304"/>
      <c r="W43" s="304" t="s">
        <v>38</v>
      </c>
      <c r="X43" s="304"/>
      <c r="Y43" s="304"/>
      <c r="Z43" s="83"/>
      <c r="AA43" s="304" t="s">
        <v>38</v>
      </c>
      <c r="AB43" s="304"/>
      <c r="AC43" s="304"/>
      <c r="AD43" s="304"/>
      <c r="AE43" s="304"/>
      <c r="AF43" s="311"/>
    </row>
    <row r="44" spans="8:32" x14ac:dyDescent="0.2">
      <c r="I44" s="113"/>
      <c r="J44" s="113" t="s">
        <v>39</v>
      </c>
      <c r="K44" s="113"/>
      <c r="L44" s="113"/>
      <c r="N44" s="51"/>
      <c r="O44" s="51" t="s">
        <v>40</v>
      </c>
      <c r="P44" s="51"/>
      <c r="Q44" s="51"/>
      <c r="R44" s="51"/>
      <c r="AC44" s="1" t="s">
        <v>240</v>
      </c>
    </row>
    <row r="45" spans="8:32" x14ac:dyDescent="0.2">
      <c r="I45" s="1" t="s">
        <v>159</v>
      </c>
    </row>
    <row r="46" spans="8:32" x14ac:dyDescent="0.2">
      <c r="I46" s="1" t="s">
        <v>160</v>
      </c>
    </row>
    <row r="47" spans="8:32" x14ac:dyDescent="0.2">
      <c r="I47" s="1" t="s">
        <v>161</v>
      </c>
    </row>
    <row r="48" spans="8:32" x14ac:dyDescent="0.2">
      <c r="I48" s="1" t="s">
        <v>162</v>
      </c>
    </row>
    <row r="50" spans="9:9" x14ac:dyDescent="0.2">
      <c r="I50" s="1" t="s">
        <v>163</v>
      </c>
    </row>
    <row r="53" spans="9:9" x14ac:dyDescent="0.2">
      <c r="I53" s="1" t="s">
        <v>164</v>
      </c>
    </row>
    <row r="54" spans="9:9" x14ac:dyDescent="0.2">
      <c r="I54" s="1" t="s">
        <v>165</v>
      </c>
    </row>
    <row r="55" spans="9:9" x14ac:dyDescent="0.2">
      <c r="I55" s="1" t="s">
        <v>166</v>
      </c>
    </row>
    <row r="56" spans="9:9" x14ac:dyDescent="0.2">
      <c r="I56" s="1" t="s">
        <v>167</v>
      </c>
    </row>
  </sheetData>
  <sheetProtection selectLockedCells="1" selectUnlockedCells="1"/>
  <mergeCells count="125">
    <mergeCell ref="I43:L43"/>
    <mergeCell ref="N43:R43"/>
    <mergeCell ref="T43:V43"/>
    <mergeCell ref="W43:Y43"/>
    <mergeCell ref="AA43:AE43"/>
    <mergeCell ref="N40:R40"/>
    <mergeCell ref="T40:V40"/>
    <mergeCell ref="W40:Y40"/>
    <mergeCell ref="AA40:AE40"/>
    <mergeCell ref="N41:N42"/>
    <mergeCell ref="P41:P42"/>
    <mergeCell ref="T41:T42"/>
    <mergeCell ref="AA37:AE37"/>
    <mergeCell ref="O38:O39"/>
    <mergeCell ref="R38:R39"/>
    <mergeCell ref="Y38:Y39"/>
    <mergeCell ref="AA38:AA39"/>
    <mergeCell ref="AE38:AE39"/>
    <mergeCell ref="AE32:AE33"/>
    <mergeCell ref="T34:Y34"/>
    <mergeCell ref="AA34:AE34"/>
    <mergeCell ref="I35:I36"/>
    <mergeCell ref="Y35:Y37"/>
    <mergeCell ref="AD35:AD36"/>
    <mergeCell ref="AE35:AE36"/>
    <mergeCell ref="I37:L37"/>
    <mergeCell ref="N37:R37"/>
    <mergeCell ref="T37:U37"/>
    <mergeCell ref="AE29:AE30"/>
    <mergeCell ref="I31:L31"/>
    <mergeCell ref="T31:V31"/>
    <mergeCell ref="W31:Y31"/>
    <mergeCell ref="AA31:AE31"/>
    <mergeCell ref="I32:I33"/>
    <mergeCell ref="L32:L35"/>
    <mergeCell ref="N32:O35"/>
    <mergeCell ref="AC32:AC33"/>
    <mergeCell ref="AD32:AD33"/>
    <mergeCell ref="I28:L28"/>
    <mergeCell ref="N28:R28"/>
    <mergeCell ref="T28:V28"/>
    <mergeCell ref="W28:Y28"/>
    <mergeCell ref="AA28:AE28"/>
    <mergeCell ref="I29:I30"/>
    <mergeCell ref="L29:L30"/>
    <mergeCell ref="N29:N30"/>
    <mergeCell ref="AA29:AA30"/>
    <mergeCell ref="AD29:AD30"/>
    <mergeCell ref="AA25:AE25"/>
    <mergeCell ref="I26:I27"/>
    <mergeCell ref="L26:L27"/>
    <mergeCell ref="N26:N27"/>
    <mergeCell ref="O26:O27"/>
    <mergeCell ref="P26:R27"/>
    <mergeCell ref="AA26:AA27"/>
    <mergeCell ref="AC26:AD26"/>
    <mergeCell ref="W27:Y27"/>
    <mergeCell ref="G23:G26"/>
    <mergeCell ref="I23:I24"/>
    <mergeCell ref="L23:L24"/>
    <mergeCell ref="N23:N24"/>
    <mergeCell ref="P23:R24"/>
    <mergeCell ref="AD23:AD24"/>
    <mergeCell ref="I25:L25"/>
    <mergeCell ref="N25:R25"/>
    <mergeCell ref="T25:V25"/>
    <mergeCell ref="W25:Y25"/>
    <mergeCell ref="AA20:AA21"/>
    <mergeCell ref="I22:L22"/>
    <mergeCell ref="N22:R22"/>
    <mergeCell ref="T22:V22"/>
    <mergeCell ref="W22:Y22"/>
    <mergeCell ref="AA22:AE22"/>
    <mergeCell ref="H19:H43"/>
    <mergeCell ref="T19:V19"/>
    <mergeCell ref="W19:Y19"/>
    <mergeCell ref="AA19:AE19"/>
    <mergeCell ref="AF19:AF43"/>
    <mergeCell ref="I20:I21"/>
    <mergeCell ref="R20:R21"/>
    <mergeCell ref="V20:V21"/>
    <mergeCell ref="W20:W21"/>
    <mergeCell ref="X20:X21"/>
    <mergeCell ref="N16:O16"/>
    <mergeCell ref="T16:V16"/>
    <mergeCell ref="W16:Y16"/>
    <mergeCell ref="AA16:AE16"/>
    <mergeCell ref="I17:I18"/>
    <mergeCell ref="R17:R18"/>
    <mergeCell ref="T17:T18"/>
    <mergeCell ref="X17:X18"/>
    <mergeCell ref="Y17:Y18"/>
    <mergeCell ref="T13:V13"/>
    <mergeCell ref="W13:Y13"/>
    <mergeCell ref="AA13:AE13"/>
    <mergeCell ref="I14:I15"/>
    <mergeCell ref="R14:R15"/>
    <mergeCell ref="T14:T15"/>
    <mergeCell ref="AC15:AD15"/>
    <mergeCell ref="T10:V10"/>
    <mergeCell ref="W10:Y10"/>
    <mergeCell ref="AA10:AE10"/>
    <mergeCell ref="I11:I12"/>
    <mergeCell ref="N11:N12"/>
    <mergeCell ref="T11:T12"/>
    <mergeCell ref="AA4:AE4"/>
    <mergeCell ref="J5:J6"/>
    <mergeCell ref="AE5:AE6"/>
    <mergeCell ref="I7:L7"/>
    <mergeCell ref="M7:M21"/>
    <mergeCell ref="N7:R7"/>
    <mergeCell ref="T7:V7"/>
    <mergeCell ref="W7:Y7"/>
    <mergeCell ref="AA7:AE7"/>
    <mergeCell ref="R8:R9"/>
    <mergeCell ref="G4:G6"/>
    <mergeCell ref="I4:L4"/>
    <mergeCell ref="N4:R4"/>
    <mergeCell ref="T4:V4"/>
    <mergeCell ref="W4:Y4"/>
    <mergeCell ref="Z4:Z24"/>
    <mergeCell ref="G8:G11"/>
    <mergeCell ref="I10:L10"/>
    <mergeCell ref="N10:R10"/>
    <mergeCell ref="S10:S27"/>
  </mergeCells>
  <printOptions horizontalCentered="1" verticalCentered="1"/>
  <pageMargins left="0.2" right="0.2" top="0.25" bottom="0.25" header="0.51180555555555551" footer="0.51180555555555551"/>
  <pageSetup firstPageNumber="0" fitToWidth="2" orientation="landscape" horizontalDpi="300" verticalDpi="300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AF56"/>
  <sheetViews>
    <sheetView topLeftCell="A25" zoomScale="130" zoomScaleNormal="130" workbookViewId="0">
      <selection activeCell="B15" sqref="B15"/>
    </sheetView>
  </sheetViews>
  <sheetFormatPr defaultColWidth="9.42578125" defaultRowHeight="14.25" x14ac:dyDescent="0.2"/>
  <cols>
    <col min="1" max="6" width="9.42578125" style="1"/>
    <col min="7" max="7" width="14.140625" style="1" customWidth="1"/>
    <col min="8" max="8" width="4.7109375" style="1" customWidth="1"/>
    <col min="9" max="9" width="14.28515625" style="1" customWidth="1"/>
    <col min="10" max="10" width="18.140625" style="1" customWidth="1"/>
    <col min="11" max="11" width="12.140625" style="1" customWidth="1"/>
    <col min="12" max="12" width="13.85546875" style="1" customWidth="1"/>
    <col min="13" max="13" width="4.7109375" style="1" customWidth="1"/>
    <col min="14" max="15" width="17.42578125" style="1" customWidth="1"/>
    <col min="16" max="16" width="19.7109375" style="1" customWidth="1"/>
    <col min="17" max="17" width="22.42578125" style="1" customWidth="1"/>
    <col min="18" max="18" width="17.85546875" style="1" customWidth="1"/>
    <col min="19" max="19" width="5.140625" style="1" customWidth="1"/>
    <col min="20" max="21" width="17.28515625" style="1" customWidth="1"/>
    <col min="22" max="22" width="18.140625" style="1" customWidth="1"/>
    <col min="23" max="23" width="14.7109375" style="1" customWidth="1"/>
    <col min="24" max="24" width="13.85546875" style="1" customWidth="1"/>
    <col min="25" max="25" width="16" style="1" customWidth="1"/>
    <col min="26" max="26" width="5.140625" style="1" customWidth="1"/>
    <col min="27" max="27" width="18.85546875" style="1" customWidth="1"/>
    <col min="28" max="28" width="19" style="1" customWidth="1"/>
    <col min="29" max="29" width="18.5703125" style="1" customWidth="1"/>
    <col min="30" max="30" width="14.140625" style="1" customWidth="1"/>
    <col min="31" max="31" width="21.42578125" style="1" customWidth="1"/>
    <col min="32" max="32" width="5.140625" style="1" customWidth="1"/>
    <col min="33" max="16384" width="9.42578125" style="1"/>
  </cols>
  <sheetData>
    <row r="4" spans="7:31" ht="14.1" customHeight="1" x14ac:dyDescent="0.2">
      <c r="G4" s="303" t="s">
        <v>113</v>
      </c>
      <c r="H4" s="6"/>
      <c r="I4" s="304" t="s">
        <v>1</v>
      </c>
      <c r="J4" s="304"/>
      <c r="K4" s="304"/>
      <c r="L4" s="304"/>
      <c r="N4" s="304" t="s">
        <v>1</v>
      </c>
      <c r="O4" s="304"/>
      <c r="P4" s="304"/>
      <c r="Q4" s="304"/>
      <c r="R4" s="304"/>
      <c r="S4" s="6"/>
      <c r="T4" s="304" t="s">
        <v>1</v>
      </c>
      <c r="U4" s="304"/>
      <c r="V4" s="304"/>
      <c r="W4" s="304" t="s">
        <v>1</v>
      </c>
      <c r="X4" s="304"/>
      <c r="Y4" s="304"/>
      <c r="Z4" s="400" t="s">
        <v>2</v>
      </c>
      <c r="AA4" s="304" t="s">
        <v>1</v>
      </c>
      <c r="AB4" s="304"/>
      <c r="AC4" s="304"/>
      <c r="AD4" s="304"/>
      <c r="AE4" s="304"/>
    </row>
    <row r="5" spans="7:31" ht="14.1" customHeight="1" x14ac:dyDescent="0.2">
      <c r="G5" s="303"/>
      <c r="H5" s="6"/>
      <c r="I5" s="7"/>
      <c r="J5" s="306">
        <v>452</v>
      </c>
      <c r="K5" s="8"/>
      <c r="L5" s="7"/>
      <c r="N5" s="7"/>
      <c r="O5" s="7">
        <v>452</v>
      </c>
      <c r="P5" s="7"/>
      <c r="Q5" s="7"/>
      <c r="R5" s="7"/>
      <c r="S5" s="6"/>
      <c r="T5" s="7"/>
      <c r="U5" s="7"/>
      <c r="V5" s="7"/>
      <c r="W5" s="7"/>
      <c r="X5" s="7"/>
      <c r="Y5" s="7"/>
      <c r="Z5" s="400"/>
      <c r="AA5" s="7"/>
      <c r="AB5" s="7"/>
      <c r="AC5" s="7"/>
      <c r="AD5" s="7"/>
      <c r="AE5" s="307" t="s">
        <v>241</v>
      </c>
    </row>
    <row r="6" spans="7:31" ht="54.75" customHeight="1" x14ac:dyDescent="0.2">
      <c r="G6" s="303"/>
      <c r="H6" s="6"/>
      <c r="I6" s="7"/>
      <c r="J6" s="306"/>
      <c r="K6" s="8"/>
      <c r="L6" s="9"/>
      <c r="N6" s="269" t="s">
        <v>242</v>
      </c>
      <c r="O6" s="269" t="s">
        <v>243</v>
      </c>
      <c r="P6" s="269" t="s">
        <v>244</v>
      </c>
      <c r="Q6" s="269" t="s">
        <v>245</v>
      </c>
      <c r="R6" s="96" t="s">
        <v>246</v>
      </c>
      <c r="S6" s="6"/>
      <c r="T6" s="7"/>
      <c r="U6" s="7"/>
      <c r="V6" s="7">
        <v>87</v>
      </c>
      <c r="W6" s="7"/>
      <c r="X6" s="7"/>
      <c r="Y6" s="7"/>
      <c r="Z6" s="400"/>
      <c r="AA6" s="7" t="s">
        <v>247</v>
      </c>
      <c r="AB6" s="7"/>
      <c r="AC6" s="7"/>
      <c r="AD6" s="7"/>
      <c r="AE6" s="307"/>
    </row>
    <row r="7" spans="7:31" x14ac:dyDescent="0.2">
      <c r="H7" s="6"/>
      <c r="I7" s="304" t="s">
        <v>4</v>
      </c>
      <c r="J7" s="304"/>
      <c r="K7" s="304"/>
      <c r="L7" s="304"/>
      <c r="M7" s="308" t="s">
        <v>5</v>
      </c>
      <c r="N7" s="304" t="s">
        <v>4</v>
      </c>
      <c r="O7" s="304"/>
      <c r="P7" s="304"/>
      <c r="Q7" s="304"/>
      <c r="R7" s="304"/>
      <c r="S7" s="6"/>
      <c r="T7" s="304" t="s">
        <v>4</v>
      </c>
      <c r="U7" s="304"/>
      <c r="V7" s="304"/>
      <c r="W7" s="304" t="s">
        <v>4</v>
      </c>
      <c r="X7" s="304"/>
      <c r="Y7" s="304"/>
      <c r="Z7" s="400"/>
      <c r="AA7" s="304" t="s">
        <v>4</v>
      </c>
      <c r="AB7" s="304"/>
      <c r="AC7" s="304"/>
      <c r="AD7" s="304"/>
      <c r="AE7" s="304"/>
    </row>
    <row r="8" spans="7:31" ht="65.25" customHeight="1" x14ac:dyDescent="0.2">
      <c r="G8" s="303" t="s">
        <v>119</v>
      </c>
      <c r="H8" s="6"/>
      <c r="I8" s="310" t="s">
        <v>248</v>
      </c>
      <c r="J8" s="289" t="s">
        <v>249</v>
      </c>
      <c r="K8" s="80" t="s">
        <v>250</v>
      </c>
      <c r="L8" s="80" t="s">
        <v>251</v>
      </c>
      <c r="M8" s="308"/>
      <c r="N8" s="281" t="s">
        <v>252</v>
      </c>
      <c r="O8" s="281" t="s">
        <v>253</v>
      </c>
      <c r="P8" s="281" t="s">
        <v>254</v>
      </c>
      <c r="Q8" s="281" t="s">
        <v>255</v>
      </c>
      <c r="R8" s="310" t="s">
        <v>256</v>
      </c>
      <c r="S8" s="6"/>
      <c r="T8" s="7"/>
      <c r="U8" s="7"/>
      <c r="V8" s="7"/>
      <c r="W8" s="7"/>
      <c r="X8" s="7"/>
      <c r="Y8" s="7"/>
      <c r="Z8" s="400"/>
      <c r="AA8" s="7" t="s">
        <v>257</v>
      </c>
      <c r="AB8" s="7"/>
      <c r="AC8" s="7"/>
      <c r="AD8" s="7"/>
      <c r="AE8" s="7" t="s">
        <v>258</v>
      </c>
    </row>
    <row r="9" spans="7:31" ht="57" x14ac:dyDescent="0.2">
      <c r="G9" s="303"/>
      <c r="H9" s="6"/>
      <c r="I9" s="310"/>
      <c r="J9" s="4" t="s">
        <v>259</v>
      </c>
      <c r="K9" s="4" t="s">
        <v>260</v>
      </c>
      <c r="L9" s="274" t="s">
        <v>261</v>
      </c>
      <c r="M9" s="308"/>
      <c r="N9" s="4" t="s">
        <v>262</v>
      </c>
      <c r="O9" s="4" t="s">
        <v>263</v>
      </c>
      <c r="P9" s="4" t="s">
        <v>264</v>
      </c>
      <c r="Q9" s="4" t="s">
        <v>265</v>
      </c>
      <c r="R9" s="310"/>
      <c r="T9" s="7"/>
      <c r="U9" s="7"/>
      <c r="V9" s="7">
        <v>87</v>
      </c>
      <c r="W9" s="7"/>
      <c r="X9" s="7"/>
      <c r="Y9" s="7"/>
      <c r="Z9" s="400"/>
      <c r="AA9" s="7"/>
      <c r="AB9" s="7"/>
      <c r="AC9" s="14">
        <v>87</v>
      </c>
      <c r="AD9" s="7"/>
      <c r="AE9" s="7"/>
    </row>
    <row r="10" spans="7:31" x14ac:dyDescent="0.2">
      <c r="G10" s="303"/>
      <c r="H10" s="6"/>
      <c r="I10" s="304" t="s">
        <v>7</v>
      </c>
      <c r="J10" s="304"/>
      <c r="K10" s="304"/>
      <c r="L10" s="304"/>
      <c r="M10" s="308"/>
      <c r="N10" s="304" t="s">
        <v>7</v>
      </c>
      <c r="O10" s="304"/>
      <c r="P10" s="304"/>
      <c r="Q10" s="304"/>
      <c r="R10" s="304"/>
      <c r="S10" s="308" t="s">
        <v>8</v>
      </c>
      <c r="T10" s="304" t="s">
        <v>7</v>
      </c>
      <c r="U10" s="304"/>
      <c r="V10" s="304"/>
      <c r="W10" s="304" t="s">
        <v>7</v>
      </c>
      <c r="X10" s="304"/>
      <c r="Y10" s="304"/>
      <c r="Z10" s="400"/>
      <c r="AA10" s="304" t="s">
        <v>7</v>
      </c>
      <c r="AB10" s="304"/>
      <c r="AC10" s="304"/>
      <c r="AD10" s="304"/>
      <c r="AE10" s="304"/>
    </row>
    <row r="11" spans="7:31" ht="66" customHeight="1" x14ac:dyDescent="0.2">
      <c r="G11" s="303"/>
      <c r="H11" s="6"/>
      <c r="I11" s="310" t="s">
        <v>266</v>
      </c>
      <c r="J11" s="401" t="s">
        <v>267</v>
      </c>
      <c r="K11" s="15"/>
      <c r="L11" s="100" t="s">
        <v>268</v>
      </c>
      <c r="M11" s="308"/>
      <c r="N11" s="312" t="s">
        <v>269</v>
      </c>
      <c r="O11" s="402" t="s">
        <v>120</v>
      </c>
      <c r="P11" s="402"/>
      <c r="Q11" s="402"/>
      <c r="R11" s="18" t="s">
        <v>270</v>
      </c>
      <c r="S11" s="308"/>
      <c r="T11" s="310" t="s">
        <v>271</v>
      </c>
      <c r="U11" s="403" t="s">
        <v>11</v>
      </c>
      <c r="V11" s="80" t="s">
        <v>272</v>
      </c>
      <c r="W11" s="80" t="s">
        <v>273</v>
      </c>
      <c r="X11" s="80" t="s">
        <v>274</v>
      </c>
      <c r="Y11" s="271" t="s">
        <v>275</v>
      </c>
      <c r="Z11" s="400"/>
      <c r="AA11" s="272" t="s">
        <v>276</v>
      </c>
      <c r="AB11" s="80" t="s">
        <v>277</v>
      </c>
      <c r="AC11" s="80" t="s">
        <v>278</v>
      </c>
      <c r="AD11" s="80" t="s">
        <v>279</v>
      </c>
      <c r="AE11" s="21" t="s">
        <v>280</v>
      </c>
    </row>
    <row r="12" spans="7:31" ht="75" customHeight="1" x14ac:dyDescent="0.2">
      <c r="H12" s="6"/>
      <c r="I12" s="310"/>
      <c r="J12" s="401"/>
      <c r="K12" s="15"/>
      <c r="L12" s="87"/>
      <c r="M12" s="308"/>
      <c r="N12" s="312"/>
      <c r="R12" s="23" t="s">
        <v>121</v>
      </c>
      <c r="S12" s="308"/>
      <c r="T12" s="310"/>
      <c r="U12" s="403"/>
      <c r="V12" s="4" t="s">
        <v>281</v>
      </c>
      <c r="W12" s="4" t="s">
        <v>282</v>
      </c>
      <c r="X12" s="4" t="s">
        <v>283</v>
      </c>
      <c r="Y12" s="274" t="s">
        <v>284</v>
      </c>
      <c r="Z12" s="400"/>
      <c r="AA12" s="275" t="s">
        <v>285</v>
      </c>
      <c r="AB12" s="4" t="s">
        <v>286</v>
      </c>
      <c r="AC12" s="4" t="s">
        <v>287</v>
      </c>
      <c r="AD12" s="4" t="s">
        <v>288</v>
      </c>
      <c r="AE12" s="274" t="s">
        <v>289</v>
      </c>
    </row>
    <row r="13" spans="7:31" x14ac:dyDescent="0.2">
      <c r="H13" s="6"/>
      <c r="I13" s="13" t="s">
        <v>9</v>
      </c>
      <c r="J13" s="401"/>
      <c r="L13" s="87"/>
      <c r="M13" s="308"/>
      <c r="N13" s="29" t="s">
        <v>290</v>
      </c>
      <c r="O13" s="26"/>
      <c r="P13" s="26"/>
      <c r="Q13" s="26"/>
      <c r="R13" s="27" t="s">
        <v>9</v>
      </c>
      <c r="S13" s="308"/>
      <c r="T13" s="304" t="s">
        <v>9</v>
      </c>
      <c r="U13" s="304"/>
      <c r="V13" s="304"/>
      <c r="W13" s="304" t="s">
        <v>9</v>
      </c>
      <c r="X13" s="304"/>
      <c r="Y13" s="304"/>
      <c r="Z13" s="400"/>
      <c r="AA13" s="304" t="s">
        <v>9</v>
      </c>
      <c r="AB13" s="304"/>
      <c r="AC13" s="304"/>
      <c r="AD13" s="304"/>
      <c r="AE13" s="304"/>
    </row>
    <row r="14" spans="7:31" ht="44.25" customHeight="1" x14ac:dyDescent="0.2">
      <c r="H14" s="6"/>
      <c r="I14" s="310" t="s">
        <v>291</v>
      </c>
      <c r="J14" s="401"/>
      <c r="K14" s="15"/>
      <c r="L14" s="107" t="s">
        <v>292</v>
      </c>
      <c r="M14" s="308"/>
      <c r="N14" s="49"/>
      <c r="O14" s="30" t="s">
        <v>293</v>
      </c>
      <c r="P14" s="30"/>
      <c r="Q14" s="30"/>
      <c r="R14" s="313" t="s">
        <v>122</v>
      </c>
      <c r="S14" s="308"/>
      <c r="T14" s="310" t="s">
        <v>294</v>
      </c>
      <c r="U14" s="403" t="s">
        <v>11</v>
      </c>
      <c r="V14" s="1" t="s">
        <v>295</v>
      </c>
      <c r="W14" s="32" t="s">
        <v>132</v>
      </c>
      <c r="X14" s="80" t="s">
        <v>296</v>
      </c>
      <c r="Y14" s="20" t="s">
        <v>297</v>
      </c>
      <c r="Z14" s="400"/>
      <c r="AA14" s="272" t="s">
        <v>298</v>
      </c>
      <c r="AB14" s="80" t="s">
        <v>299</v>
      </c>
      <c r="AC14" s="80" t="s">
        <v>300</v>
      </c>
      <c r="AD14" s="80" t="s">
        <v>301</v>
      </c>
      <c r="AE14" s="271" t="s">
        <v>302</v>
      </c>
    </row>
    <row r="15" spans="7:31" ht="54" customHeight="1" x14ac:dyDescent="0.2">
      <c r="H15" s="6"/>
      <c r="I15" s="310"/>
      <c r="J15" s="401"/>
      <c r="K15" s="15"/>
      <c r="L15" s="87"/>
      <c r="M15" s="308"/>
      <c r="N15" s="49"/>
      <c r="O15" s="33"/>
      <c r="P15" s="33"/>
      <c r="Q15" s="33"/>
      <c r="R15" s="313"/>
      <c r="S15" s="308"/>
      <c r="T15" s="310"/>
      <c r="U15" s="403"/>
      <c r="V15" s="290"/>
      <c r="W15" s="4" t="s">
        <v>303</v>
      </c>
      <c r="X15" s="4" t="s">
        <v>304</v>
      </c>
      <c r="Y15" s="4" t="s">
        <v>305</v>
      </c>
      <c r="Z15" s="400"/>
      <c r="AA15" s="275" t="s">
        <v>306</v>
      </c>
      <c r="AB15" s="275" t="s">
        <v>307</v>
      </c>
      <c r="AC15" s="275" t="s">
        <v>308</v>
      </c>
      <c r="AD15" s="278" t="s">
        <v>309</v>
      </c>
      <c r="AE15" s="274" t="s">
        <v>310</v>
      </c>
    </row>
    <row r="16" spans="7:31" ht="14.1" customHeight="1" x14ac:dyDescent="0.2">
      <c r="H16" s="6"/>
      <c r="I16" s="38" t="s">
        <v>13</v>
      </c>
      <c r="J16" s="401"/>
      <c r="K16" s="39"/>
      <c r="L16" s="291"/>
      <c r="M16" s="308"/>
      <c r="N16" s="387" t="s">
        <v>10</v>
      </c>
      <c r="O16" s="387"/>
      <c r="P16" s="41"/>
      <c r="Q16" s="41"/>
      <c r="R16" s="42" t="s">
        <v>14</v>
      </c>
      <c r="S16" s="308"/>
      <c r="T16" s="304" t="s">
        <v>13</v>
      </c>
      <c r="U16" s="304"/>
      <c r="V16" s="304"/>
      <c r="W16" s="304" t="s">
        <v>13</v>
      </c>
      <c r="X16" s="304"/>
      <c r="Y16" s="304"/>
      <c r="Z16" s="400"/>
      <c r="AA16" s="304" t="s">
        <v>13</v>
      </c>
      <c r="AB16" s="304"/>
      <c r="AC16" s="304"/>
      <c r="AD16" s="304"/>
      <c r="AE16" s="304"/>
    </row>
    <row r="17" spans="1:32" ht="68.650000000000006" customHeight="1" x14ac:dyDescent="0.2">
      <c r="H17" s="6"/>
      <c r="I17" s="310" t="s">
        <v>311</v>
      </c>
      <c r="J17" s="401"/>
      <c r="K17" s="15"/>
      <c r="L17" s="107" t="s">
        <v>312</v>
      </c>
      <c r="M17" s="308"/>
      <c r="N17" s="49"/>
      <c r="O17" s="404" t="s">
        <v>313</v>
      </c>
      <c r="P17" s="15"/>
      <c r="Q17" s="15"/>
      <c r="R17" s="315" t="s">
        <v>314</v>
      </c>
      <c r="S17" s="308"/>
      <c r="T17" s="310" t="s">
        <v>315</v>
      </c>
      <c r="U17" s="19" t="s">
        <v>316</v>
      </c>
      <c r="V17" s="44"/>
      <c r="W17" s="44" t="s">
        <v>317</v>
      </c>
      <c r="X17" s="396" t="s">
        <v>11</v>
      </c>
      <c r="Y17" s="310" t="s">
        <v>318</v>
      </c>
      <c r="Z17" s="400"/>
      <c r="AA17" s="272" t="s">
        <v>319</v>
      </c>
      <c r="AB17" s="281" t="s">
        <v>320</v>
      </c>
      <c r="AC17" s="292" t="s">
        <v>321</v>
      </c>
      <c r="AD17" s="80" t="s">
        <v>322</v>
      </c>
      <c r="AE17" s="47" t="s">
        <v>123</v>
      </c>
    </row>
    <row r="18" spans="1:32" ht="30.75" customHeight="1" x14ac:dyDescent="0.2">
      <c r="A18" s="1" t="s">
        <v>221</v>
      </c>
      <c r="H18" s="6"/>
      <c r="I18" s="310"/>
      <c r="J18" s="15"/>
      <c r="K18" s="15"/>
      <c r="L18" s="87"/>
      <c r="M18" s="308"/>
      <c r="N18" s="49"/>
      <c r="O18" s="404"/>
      <c r="P18" s="15"/>
      <c r="Q18" s="15"/>
      <c r="R18" s="315"/>
      <c r="S18" s="308"/>
      <c r="T18" s="310"/>
      <c r="U18" s="13" t="s">
        <v>323</v>
      </c>
      <c r="V18" s="51" t="s">
        <v>124</v>
      </c>
      <c r="W18" s="293" t="s">
        <v>324</v>
      </c>
      <c r="X18" s="396"/>
      <c r="Y18" s="310"/>
      <c r="Z18" s="400"/>
      <c r="AA18" s="275" t="s">
        <v>325</v>
      </c>
      <c r="AB18" s="1" t="s">
        <v>326</v>
      </c>
      <c r="AC18" s="4" t="s">
        <v>327</v>
      </c>
      <c r="AD18" s="13" t="s">
        <v>328</v>
      </c>
      <c r="AE18" s="4" t="s">
        <v>329</v>
      </c>
    </row>
    <row r="19" spans="1:32" ht="22.5" customHeight="1" x14ac:dyDescent="0.2">
      <c r="H19" s="308" t="s">
        <v>125</v>
      </c>
      <c r="I19" s="38" t="s">
        <v>18</v>
      </c>
      <c r="J19" s="39"/>
      <c r="K19" s="39"/>
      <c r="L19" s="291"/>
      <c r="M19" s="308"/>
      <c r="N19" s="53" t="s">
        <v>330</v>
      </c>
      <c r="O19" s="404"/>
      <c r="P19" s="15"/>
      <c r="Q19" s="15"/>
      <c r="R19" s="42" t="s">
        <v>126</v>
      </c>
      <c r="S19" s="308"/>
      <c r="T19" s="304" t="s">
        <v>18</v>
      </c>
      <c r="U19" s="304"/>
      <c r="V19" s="304"/>
      <c r="W19" s="304" t="s">
        <v>18</v>
      </c>
      <c r="X19" s="304"/>
      <c r="Y19" s="304"/>
      <c r="Z19" s="400"/>
      <c r="AA19" s="304" t="s">
        <v>18</v>
      </c>
      <c r="AB19" s="304"/>
      <c r="AC19" s="304"/>
      <c r="AD19" s="304"/>
      <c r="AE19" s="304"/>
      <c r="AF19" s="311" t="s">
        <v>127</v>
      </c>
    </row>
    <row r="20" spans="1:32" ht="44.25" customHeight="1" x14ac:dyDescent="0.2">
      <c r="H20" s="308"/>
      <c r="I20" s="310" t="s">
        <v>331</v>
      </c>
      <c r="J20" s="15"/>
      <c r="K20" s="15"/>
      <c r="L20" s="87"/>
      <c r="M20" s="308"/>
      <c r="N20" s="49"/>
      <c r="O20" s="33"/>
      <c r="P20" s="33"/>
      <c r="Q20" s="33"/>
      <c r="R20" s="318" t="s">
        <v>332</v>
      </c>
      <c r="S20" s="308"/>
      <c r="T20" s="55" t="s">
        <v>333</v>
      </c>
      <c r="U20" s="1" t="s">
        <v>334</v>
      </c>
      <c r="V20" s="310"/>
      <c r="W20" s="310" t="s">
        <v>335</v>
      </c>
      <c r="X20" s="396" t="s">
        <v>11</v>
      </c>
      <c r="Y20" s="284" t="s">
        <v>336</v>
      </c>
      <c r="Z20" s="400"/>
      <c r="AA20" s="397" t="s">
        <v>128</v>
      </c>
      <c r="AB20" s="4" t="s">
        <v>337</v>
      </c>
      <c r="AC20" s="285" t="s">
        <v>128</v>
      </c>
      <c r="AD20" s="285"/>
      <c r="AE20" s="37" t="s">
        <v>338</v>
      </c>
      <c r="AF20" s="311"/>
    </row>
    <row r="21" spans="1:32" ht="25.5" customHeight="1" x14ac:dyDescent="0.2">
      <c r="H21" s="308"/>
      <c r="I21" s="310"/>
      <c r="J21" s="15"/>
      <c r="K21" s="15"/>
      <c r="L21" s="294" t="s">
        <v>339</v>
      </c>
      <c r="M21" s="308"/>
      <c r="N21" s="60" t="s">
        <v>340</v>
      </c>
      <c r="O21" s="61"/>
      <c r="P21" s="61"/>
      <c r="Q21" s="61"/>
      <c r="R21" s="318"/>
      <c r="S21" s="308"/>
      <c r="T21" s="55" t="s">
        <v>341</v>
      </c>
      <c r="U21" s="62" t="s">
        <v>129</v>
      </c>
      <c r="V21" s="310"/>
      <c r="W21" s="310"/>
      <c r="X21" s="396"/>
      <c r="Y21" s="295" t="s">
        <v>342</v>
      </c>
      <c r="Z21" s="400"/>
      <c r="AA21" s="397"/>
      <c r="AB21" s="285"/>
      <c r="AC21" s="285"/>
      <c r="AD21" s="285" t="s">
        <v>128</v>
      </c>
      <c r="AE21" s="37" t="s">
        <v>343</v>
      </c>
      <c r="AF21" s="311"/>
    </row>
    <row r="22" spans="1:32" ht="14.1" customHeight="1" x14ac:dyDescent="0.2">
      <c r="H22" s="308"/>
      <c r="I22" s="322" t="s">
        <v>22</v>
      </c>
      <c r="J22" s="322"/>
      <c r="K22" s="322"/>
      <c r="L22" s="322"/>
      <c r="M22" s="65"/>
      <c r="N22" s="304" t="s">
        <v>22</v>
      </c>
      <c r="O22" s="304"/>
      <c r="P22" s="304"/>
      <c r="Q22" s="304"/>
      <c r="R22" s="304"/>
      <c r="S22" s="308"/>
      <c r="T22" s="304" t="s">
        <v>22</v>
      </c>
      <c r="U22" s="304"/>
      <c r="V22" s="304"/>
      <c r="W22" s="304" t="s">
        <v>22</v>
      </c>
      <c r="X22" s="304"/>
      <c r="Y22" s="304"/>
      <c r="Z22" s="400"/>
      <c r="AA22" s="304" t="s">
        <v>22</v>
      </c>
      <c r="AB22" s="304"/>
      <c r="AC22" s="304"/>
      <c r="AD22" s="304"/>
      <c r="AE22" s="304"/>
      <c r="AF22" s="311"/>
    </row>
    <row r="23" spans="1:32" ht="31.5" customHeight="1" x14ac:dyDescent="0.2">
      <c r="G23" s="303" t="s">
        <v>130</v>
      </c>
      <c r="H23" s="308"/>
      <c r="I23" s="323" t="s">
        <v>344</v>
      </c>
      <c r="J23" s="66"/>
      <c r="K23" s="66"/>
      <c r="L23" s="398" t="s">
        <v>128</v>
      </c>
      <c r="M23" s="65"/>
      <c r="N23" s="388" t="s">
        <v>39</v>
      </c>
      <c r="O23" s="405" t="s">
        <v>131</v>
      </c>
      <c r="P23" s="405"/>
      <c r="Q23" s="405"/>
      <c r="R23" s="405"/>
      <c r="S23" s="308"/>
      <c r="T23" s="1" t="s">
        <v>345</v>
      </c>
      <c r="U23" s="32" t="s">
        <v>132</v>
      </c>
      <c r="V23" s="67"/>
      <c r="W23" s="68"/>
      <c r="X23" s="68"/>
      <c r="Y23" s="68"/>
      <c r="Z23" s="400"/>
      <c r="AA23" s="13" t="s">
        <v>346</v>
      </c>
      <c r="AB23" s="296" t="s">
        <v>347</v>
      </c>
      <c r="AC23" s="13" t="s">
        <v>348</v>
      </c>
      <c r="AD23" s="331" t="s">
        <v>349</v>
      </c>
      <c r="AE23" s="37" t="s">
        <v>350</v>
      </c>
      <c r="AF23" s="311"/>
    </row>
    <row r="24" spans="1:32" ht="28.5" x14ac:dyDescent="0.2">
      <c r="G24" s="303"/>
      <c r="H24" s="308"/>
      <c r="I24" s="323"/>
      <c r="J24" s="15"/>
      <c r="K24" s="15"/>
      <c r="L24" s="398"/>
      <c r="M24" s="65"/>
      <c r="N24" s="388"/>
      <c r="O24" s="405"/>
      <c r="P24" s="405"/>
      <c r="Q24" s="405"/>
      <c r="R24" s="405"/>
      <c r="S24" s="308"/>
      <c r="T24" s="68"/>
      <c r="U24" s="68"/>
      <c r="V24" s="68"/>
      <c r="W24" s="71"/>
      <c r="X24" s="71"/>
      <c r="Y24" s="71"/>
      <c r="Z24" s="400"/>
      <c r="AA24" s="32" t="s">
        <v>134</v>
      </c>
      <c r="AB24" s="4" t="s">
        <v>351</v>
      </c>
      <c r="AC24" s="72" t="s">
        <v>135</v>
      </c>
      <c r="AD24" s="331"/>
      <c r="AE24" s="32" t="s">
        <v>136</v>
      </c>
      <c r="AF24" s="311"/>
    </row>
    <row r="25" spans="1:32" ht="14.1" customHeight="1" x14ac:dyDescent="0.2">
      <c r="G25" s="303"/>
      <c r="H25" s="308"/>
      <c r="I25" s="406" t="s">
        <v>24</v>
      </c>
      <c r="J25" s="406"/>
      <c r="K25" s="406"/>
      <c r="L25" s="406"/>
      <c r="M25" s="65"/>
      <c r="N25" s="304" t="s">
        <v>24</v>
      </c>
      <c r="O25" s="304"/>
      <c r="P25" s="304"/>
      <c r="Q25" s="304"/>
      <c r="R25" s="304"/>
      <c r="S25" s="308"/>
      <c r="T25" s="328"/>
      <c r="U25" s="328"/>
      <c r="V25" s="328"/>
      <c r="W25" s="328"/>
      <c r="X25" s="328"/>
      <c r="Y25" s="328"/>
      <c r="Z25" s="65"/>
      <c r="AA25" s="322" t="s">
        <v>24</v>
      </c>
      <c r="AB25" s="322"/>
      <c r="AC25" s="322"/>
      <c r="AD25" s="322"/>
      <c r="AE25" s="322"/>
      <c r="AF25" s="311"/>
    </row>
    <row r="26" spans="1:32" ht="53.25" customHeight="1" x14ac:dyDescent="0.2">
      <c r="G26" s="303"/>
      <c r="H26" s="308"/>
      <c r="I26" s="330" t="s">
        <v>352</v>
      </c>
      <c r="J26" s="15"/>
      <c r="K26" s="15"/>
      <c r="L26" s="330" t="s">
        <v>353</v>
      </c>
      <c r="M26" s="65"/>
      <c r="N26" s="391" t="s">
        <v>354</v>
      </c>
      <c r="O26" s="392" t="s">
        <v>355</v>
      </c>
      <c r="P26" s="389" t="s">
        <v>138</v>
      </c>
      <c r="Q26" s="389"/>
      <c r="R26" s="389"/>
      <c r="S26" s="308"/>
      <c r="T26" s="71"/>
      <c r="U26" s="71"/>
      <c r="V26" s="71"/>
      <c r="W26" s="71"/>
      <c r="X26" s="71"/>
      <c r="Y26" s="71"/>
      <c r="Z26" s="65"/>
      <c r="AA26" s="396" t="s">
        <v>11</v>
      </c>
      <c r="AB26" s="331" t="s">
        <v>356</v>
      </c>
      <c r="AC26" s="80" t="s">
        <v>357</v>
      </c>
      <c r="AD26" s="265" t="s">
        <v>358</v>
      </c>
      <c r="AE26" s="271" t="s">
        <v>359</v>
      </c>
      <c r="AF26" s="311"/>
    </row>
    <row r="27" spans="1:32" ht="58.5" customHeight="1" x14ac:dyDescent="0.2">
      <c r="H27" s="308"/>
      <c r="I27" s="330"/>
      <c r="J27" s="15"/>
      <c r="K27" s="15"/>
      <c r="L27" s="330"/>
      <c r="M27" s="65"/>
      <c r="N27" s="391"/>
      <c r="O27" s="392"/>
      <c r="P27" s="389"/>
      <c r="Q27" s="389"/>
      <c r="R27" s="389"/>
      <c r="S27" s="308"/>
      <c r="T27" s="287"/>
      <c r="U27" s="287"/>
      <c r="V27" s="297" t="s">
        <v>26</v>
      </c>
      <c r="W27" s="328"/>
      <c r="X27" s="328"/>
      <c r="Y27" s="328"/>
      <c r="Z27" s="65"/>
      <c r="AA27" s="396"/>
      <c r="AB27" s="331"/>
      <c r="AC27" s="4" t="s">
        <v>360</v>
      </c>
      <c r="AD27" s="4" t="s">
        <v>361</v>
      </c>
      <c r="AE27" s="274" t="s">
        <v>362</v>
      </c>
      <c r="AF27" s="311"/>
    </row>
    <row r="28" spans="1:32" x14ac:dyDescent="0.2">
      <c r="H28" s="308"/>
      <c r="I28" s="304" t="s">
        <v>27</v>
      </c>
      <c r="J28" s="304"/>
      <c r="K28" s="304"/>
      <c r="L28" s="304"/>
      <c r="M28" s="65"/>
      <c r="N28" s="322" t="s">
        <v>27</v>
      </c>
      <c r="O28" s="322"/>
      <c r="P28" s="322"/>
      <c r="Q28" s="322"/>
      <c r="R28" s="322"/>
      <c r="S28" s="65"/>
      <c r="T28" s="328"/>
      <c r="U28" s="328"/>
      <c r="V28" s="328"/>
      <c r="W28" s="328"/>
      <c r="X28" s="328"/>
      <c r="Y28" s="328"/>
      <c r="Z28" s="90"/>
      <c r="AA28" s="304" t="s">
        <v>27</v>
      </c>
      <c r="AB28" s="304"/>
      <c r="AC28" s="304"/>
      <c r="AD28" s="304"/>
      <c r="AE28" s="304"/>
      <c r="AF28" s="311"/>
    </row>
    <row r="29" spans="1:32" ht="33" customHeight="1" x14ac:dyDescent="0.2">
      <c r="H29" s="308"/>
      <c r="I29" s="310" t="s">
        <v>363</v>
      </c>
      <c r="J29" s="15"/>
      <c r="K29" s="15"/>
      <c r="L29" s="332" t="s">
        <v>139</v>
      </c>
      <c r="M29" s="90"/>
      <c r="N29" s="399" t="s">
        <v>140</v>
      </c>
      <c r="O29" s="26" t="s">
        <v>364</v>
      </c>
      <c r="P29" s="26" t="s">
        <v>365</v>
      </c>
      <c r="Q29" s="84" t="s">
        <v>141</v>
      </c>
      <c r="R29" s="85"/>
      <c r="S29" s="6"/>
      <c r="T29" s="71"/>
      <c r="U29" s="71"/>
      <c r="V29" s="71"/>
      <c r="W29" s="71"/>
      <c r="X29" s="71"/>
      <c r="Y29" s="71"/>
      <c r="Z29" s="90"/>
      <c r="AA29" s="396" t="s">
        <v>11</v>
      </c>
      <c r="AB29" s="310" t="s">
        <v>366</v>
      </c>
      <c r="AC29" s="298" t="s">
        <v>367</v>
      </c>
      <c r="AD29" s="335" t="s">
        <v>142</v>
      </c>
      <c r="AE29" s="336" t="s">
        <v>143</v>
      </c>
      <c r="AF29" s="311"/>
    </row>
    <row r="30" spans="1:32" ht="27" customHeight="1" x14ac:dyDescent="0.2">
      <c r="H30" s="308"/>
      <c r="I30" s="310"/>
      <c r="J30" s="15"/>
      <c r="K30" s="15"/>
      <c r="L30" s="332"/>
      <c r="M30" s="90"/>
      <c r="N30" s="399"/>
      <c r="O30" s="61" t="s">
        <v>368</v>
      </c>
      <c r="P30" s="61"/>
      <c r="Q30" s="33"/>
      <c r="R30" s="87"/>
      <c r="S30" s="6"/>
      <c r="T30" s="71"/>
      <c r="U30" s="71"/>
      <c r="V30" s="71"/>
      <c r="W30" s="71"/>
      <c r="X30" s="71"/>
      <c r="Y30" s="71"/>
      <c r="Z30" s="90"/>
      <c r="AA30" s="396"/>
      <c r="AB30" s="310"/>
      <c r="AC30" s="4" t="s">
        <v>369</v>
      </c>
      <c r="AD30" s="335"/>
      <c r="AE30" s="336"/>
      <c r="AF30" s="311"/>
    </row>
    <row r="31" spans="1:32" x14ac:dyDescent="0.2">
      <c r="H31" s="308"/>
      <c r="I31" s="304" t="s">
        <v>29</v>
      </c>
      <c r="J31" s="304"/>
      <c r="K31" s="304"/>
      <c r="L31" s="304"/>
      <c r="M31" s="90"/>
      <c r="N31" s="29"/>
      <c r="R31" s="87"/>
      <c r="S31" s="6"/>
      <c r="T31" s="328"/>
      <c r="U31" s="328"/>
      <c r="V31" s="328"/>
      <c r="W31" s="328"/>
      <c r="X31" s="328"/>
      <c r="Y31" s="328"/>
      <c r="Z31" s="90"/>
      <c r="AA31" s="304" t="s">
        <v>29</v>
      </c>
      <c r="AB31" s="304"/>
      <c r="AC31" s="304"/>
      <c r="AD31" s="304"/>
      <c r="AE31" s="304"/>
      <c r="AF31" s="311"/>
    </row>
    <row r="32" spans="1:32" ht="15" customHeight="1" x14ac:dyDescent="0.2">
      <c r="H32" s="308"/>
      <c r="I32" s="310" t="s">
        <v>370</v>
      </c>
      <c r="J32" s="89" t="s">
        <v>371</v>
      </c>
      <c r="K32" s="89"/>
      <c r="L32" s="318" t="s">
        <v>372</v>
      </c>
      <c r="M32" s="90"/>
      <c r="N32" s="314" t="s">
        <v>373</v>
      </c>
      <c r="O32" s="314"/>
      <c r="P32" s="4"/>
      <c r="Q32" s="4"/>
      <c r="R32" s="87"/>
      <c r="S32" s="90"/>
      <c r="T32" s="71"/>
      <c r="U32" s="71"/>
      <c r="V32" s="71"/>
      <c r="W32" s="71"/>
      <c r="X32" s="71"/>
      <c r="Y32" s="71"/>
      <c r="Z32" s="90"/>
      <c r="AA32" s="62" t="s">
        <v>144</v>
      </c>
      <c r="AC32" s="396" t="s">
        <v>11</v>
      </c>
      <c r="AD32" s="310" t="s">
        <v>374</v>
      </c>
      <c r="AE32" s="310" t="s">
        <v>375</v>
      </c>
      <c r="AF32" s="311"/>
    </row>
    <row r="33" spans="8:32" x14ac:dyDescent="0.2">
      <c r="H33" s="308"/>
      <c r="I33" s="310"/>
      <c r="J33" s="15"/>
      <c r="K33" s="15"/>
      <c r="L33" s="318"/>
      <c r="M33" s="90"/>
      <c r="N33" s="314"/>
      <c r="O33" s="314"/>
      <c r="P33" s="4"/>
      <c r="Q33" s="4"/>
      <c r="R33" s="87"/>
      <c r="S33" s="90"/>
      <c r="T33" s="91"/>
      <c r="U33" s="91"/>
      <c r="V33" s="91"/>
      <c r="W33" s="91"/>
      <c r="X33" s="91"/>
      <c r="Y33" s="91"/>
      <c r="Z33" s="90"/>
      <c r="AA33" s="1" t="s">
        <v>376</v>
      </c>
      <c r="AB33" s="92" t="s">
        <v>145</v>
      </c>
      <c r="AC33" s="396"/>
      <c r="AD33" s="310"/>
      <c r="AE33" s="310"/>
      <c r="AF33" s="311"/>
    </row>
    <row r="34" spans="8:32" x14ac:dyDescent="0.2">
      <c r="H34" s="308"/>
      <c r="I34" s="38" t="s">
        <v>30</v>
      </c>
      <c r="J34" s="39"/>
      <c r="K34" s="39"/>
      <c r="L34" s="318"/>
      <c r="M34" s="90"/>
      <c r="N34" s="314"/>
      <c r="O34" s="314"/>
      <c r="P34" s="4"/>
      <c r="Q34" s="4"/>
      <c r="R34" s="87"/>
      <c r="S34" s="90"/>
      <c r="T34" s="338" t="s">
        <v>30</v>
      </c>
      <c r="U34" s="338"/>
      <c r="V34" s="338"/>
      <c r="W34" s="338"/>
      <c r="X34" s="338"/>
      <c r="Y34" s="338"/>
      <c r="Z34" s="90"/>
      <c r="AA34" s="304" t="s">
        <v>30</v>
      </c>
      <c r="AB34" s="304"/>
      <c r="AC34" s="304"/>
      <c r="AD34" s="304"/>
      <c r="AE34" s="304"/>
      <c r="AF34" s="311"/>
    </row>
    <row r="35" spans="8:32" ht="15" customHeight="1" x14ac:dyDescent="0.2">
      <c r="H35" s="308"/>
      <c r="I35" s="310" t="s">
        <v>377</v>
      </c>
      <c r="J35" s="32" t="s">
        <v>146</v>
      </c>
      <c r="K35" s="32"/>
      <c r="L35" s="318"/>
      <c r="M35" s="90"/>
      <c r="N35" s="314"/>
      <c r="O35" s="314"/>
      <c r="P35" s="4"/>
      <c r="Q35" s="4"/>
      <c r="R35" s="87"/>
      <c r="S35" s="90"/>
      <c r="T35" s="1" t="s">
        <v>378</v>
      </c>
      <c r="U35" s="13">
        <v>191</v>
      </c>
      <c r="V35" s="51"/>
      <c r="W35" s="51"/>
      <c r="X35" s="93"/>
      <c r="Y35" s="339" t="s">
        <v>379</v>
      </c>
      <c r="Z35" s="90"/>
      <c r="AA35" s="1" t="s">
        <v>380</v>
      </c>
      <c r="AB35" s="1" t="s">
        <v>381</v>
      </c>
      <c r="AD35" s="396" t="s">
        <v>11</v>
      </c>
      <c r="AE35" s="310" t="s">
        <v>382</v>
      </c>
      <c r="AF35" s="311"/>
    </row>
    <row r="36" spans="8:32" ht="27.75" customHeight="1" x14ac:dyDescent="0.2">
      <c r="H36" s="308"/>
      <c r="I36" s="310"/>
      <c r="J36" s="15"/>
      <c r="K36" s="15"/>
      <c r="L36" s="37" t="s">
        <v>383</v>
      </c>
      <c r="M36" s="90"/>
      <c r="N36" s="94"/>
      <c r="O36" s="72" t="s">
        <v>32</v>
      </c>
      <c r="P36" s="72"/>
      <c r="Q36" s="72"/>
      <c r="R36" s="95"/>
      <c r="S36" s="90"/>
      <c r="T36" s="6"/>
      <c r="U36" s="6" t="s">
        <v>384</v>
      </c>
      <c r="V36" s="97" t="s">
        <v>147</v>
      </c>
      <c r="W36" s="51"/>
      <c r="X36" s="51"/>
      <c r="Y36" s="339"/>
      <c r="Z36" s="90"/>
      <c r="AA36" s="1" t="s">
        <v>385</v>
      </c>
      <c r="AB36" s="98" t="s">
        <v>145</v>
      </c>
      <c r="AC36" s="98" t="s">
        <v>145</v>
      </c>
      <c r="AD36" s="396"/>
      <c r="AE36" s="310"/>
      <c r="AF36" s="311"/>
    </row>
    <row r="37" spans="8:32" x14ac:dyDescent="0.2">
      <c r="H37" s="308"/>
      <c r="I37" s="304" t="s">
        <v>34</v>
      </c>
      <c r="J37" s="304"/>
      <c r="K37" s="304"/>
      <c r="L37" s="304"/>
      <c r="M37" s="90"/>
      <c r="N37" s="304" t="s">
        <v>34</v>
      </c>
      <c r="O37" s="304"/>
      <c r="P37" s="304"/>
      <c r="Q37" s="304"/>
      <c r="R37" s="304"/>
      <c r="S37" s="90"/>
      <c r="T37" s="338" t="s">
        <v>34</v>
      </c>
      <c r="U37" s="338"/>
      <c r="V37" s="99"/>
      <c r="W37" s="51"/>
      <c r="X37" s="51"/>
      <c r="Y37" s="339"/>
      <c r="Z37" s="90"/>
      <c r="AA37" s="304" t="s">
        <v>34</v>
      </c>
      <c r="AB37" s="304"/>
      <c r="AC37" s="304"/>
      <c r="AD37" s="304"/>
      <c r="AE37" s="304"/>
      <c r="AF37" s="311"/>
    </row>
    <row r="38" spans="8:32" ht="15" customHeight="1" x14ac:dyDescent="0.2">
      <c r="H38" s="308"/>
      <c r="I38" s="29"/>
      <c r="J38" s="26"/>
      <c r="K38" s="26"/>
      <c r="L38" s="100" t="s">
        <v>386</v>
      </c>
      <c r="M38" s="90"/>
      <c r="N38" s="46" t="s">
        <v>148</v>
      </c>
      <c r="O38" s="310" t="s">
        <v>387</v>
      </c>
      <c r="P38" s="13" t="s">
        <v>388</v>
      </c>
      <c r="Q38" s="407" t="s">
        <v>149</v>
      </c>
      <c r="R38" s="407"/>
      <c r="S38" s="90"/>
      <c r="U38" s="51"/>
      <c r="V38" s="51"/>
      <c r="W38" s="51"/>
      <c r="X38" s="51"/>
      <c r="Y38" s="341"/>
      <c r="Z38" s="90"/>
      <c r="AA38" s="309" t="s">
        <v>389</v>
      </c>
      <c r="AB38" s="13" t="s">
        <v>390</v>
      </c>
      <c r="AC38" s="92" t="s">
        <v>145</v>
      </c>
      <c r="AD38" s="396" t="s">
        <v>11</v>
      </c>
      <c r="AE38" s="342" t="s">
        <v>391</v>
      </c>
      <c r="AF38" s="311"/>
    </row>
    <row r="39" spans="8:32" ht="18" x14ac:dyDescent="0.2">
      <c r="H39" s="308"/>
      <c r="I39" s="101" t="s">
        <v>150</v>
      </c>
      <c r="J39" s="41"/>
      <c r="K39" s="41"/>
      <c r="L39" s="299" t="s">
        <v>151</v>
      </c>
      <c r="M39" s="90"/>
      <c r="N39" s="300" t="s">
        <v>392</v>
      </c>
      <c r="O39" s="310"/>
      <c r="P39" s="262" t="s">
        <v>393</v>
      </c>
      <c r="Q39" s="407"/>
      <c r="R39" s="407"/>
      <c r="S39" s="90"/>
      <c r="T39" s="1" t="s">
        <v>394</v>
      </c>
      <c r="U39" s="104" t="s">
        <v>395</v>
      </c>
      <c r="V39" s="51"/>
      <c r="W39" s="51"/>
      <c r="X39" s="51"/>
      <c r="Y39" s="341"/>
      <c r="Z39" s="90"/>
      <c r="AA39" s="309"/>
      <c r="AB39" s="92" t="s">
        <v>145</v>
      </c>
      <c r="AC39" s="301" t="s">
        <v>396</v>
      </c>
      <c r="AD39" s="396"/>
      <c r="AE39" s="342"/>
      <c r="AF39" s="311"/>
    </row>
    <row r="40" spans="8:32" x14ac:dyDescent="0.2">
      <c r="H40" s="308"/>
      <c r="I40" s="101" t="s">
        <v>152</v>
      </c>
      <c r="J40" s="41"/>
      <c r="K40" s="41"/>
      <c r="L40" s="87"/>
      <c r="M40" s="90"/>
      <c r="N40" s="304" t="s">
        <v>36</v>
      </c>
      <c r="O40" s="304"/>
      <c r="P40" s="304"/>
      <c r="Q40" s="304"/>
      <c r="R40" s="304"/>
      <c r="S40" s="90"/>
      <c r="T40" s="304" t="s">
        <v>36</v>
      </c>
      <c r="U40" s="304"/>
      <c r="V40" s="304"/>
      <c r="W40" s="304" t="s">
        <v>36</v>
      </c>
      <c r="X40" s="304"/>
      <c r="Y40" s="304"/>
      <c r="Z40" s="90"/>
      <c r="AA40" s="304" t="s">
        <v>36</v>
      </c>
      <c r="AB40" s="304"/>
      <c r="AC40" s="304"/>
      <c r="AD40" s="304"/>
      <c r="AE40" s="304"/>
      <c r="AF40" s="311"/>
    </row>
    <row r="41" spans="8:32" ht="14.1" customHeight="1" x14ac:dyDescent="0.2">
      <c r="H41" s="308"/>
      <c r="I41" s="49"/>
      <c r="J41" s="33"/>
      <c r="K41" s="33"/>
      <c r="L41" s="107" t="s">
        <v>397</v>
      </c>
      <c r="M41" s="90"/>
      <c r="N41" s="310" t="s">
        <v>398</v>
      </c>
      <c r="O41" s="331" t="s">
        <v>399</v>
      </c>
      <c r="P41" s="335" t="s">
        <v>238</v>
      </c>
      <c r="Q41" s="331" t="s">
        <v>400</v>
      </c>
      <c r="R41" s="331" t="s">
        <v>401</v>
      </c>
      <c r="S41" s="65"/>
      <c r="T41" s="343" t="s">
        <v>154</v>
      </c>
      <c r="U41" s="109"/>
      <c r="V41" s="72" t="s">
        <v>402</v>
      </c>
      <c r="W41" s="110"/>
      <c r="X41" s="110"/>
      <c r="Y41" s="110"/>
      <c r="Z41" s="90"/>
      <c r="AA41" s="110"/>
      <c r="AB41" s="110"/>
      <c r="AC41" s="110"/>
      <c r="AD41" s="110"/>
      <c r="AE41" s="110"/>
      <c r="AF41" s="311"/>
    </row>
    <row r="42" spans="8:32" ht="15" x14ac:dyDescent="0.25">
      <c r="H42" s="308"/>
      <c r="I42" s="94"/>
      <c r="J42" s="61"/>
      <c r="K42" s="61" t="s">
        <v>157</v>
      </c>
      <c r="L42" s="95"/>
      <c r="M42" s="90"/>
      <c r="N42" s="310"/>
      <c r="O42" s="331"/>
      <c r="P42" s="335"/>
      <c r="Q42" s="331"/>
      <c r="R42" s="331"/>
      <c r="S42" s="65"/>
      <c r="T42" s="343"/>
      <c r="U42" s="109"/>
      <c r="V42" s="110"/>
      <c r="W42" s="110"/>
      <c r="X42" s="110" t="s">
        <v>403</v>
      </c>
      <c r="Y42" s="110"/>
      <c r="Z42" s="90"/>
      <c r="AA42" s="266" t="s">
        <v>404</v>
      </c>
      <c r="AB42" s="110"/>
      <c r="AC42" s="110"/>
      <c r="AD42" s="110"/>
      <c r="AE42" s="112" t="s">
        <v>239</v>
      </c>
      <c r="AF42" s="311"/>
    </row>
    <row r="43" spans="8:32" x14ac:dyDescent="0.2">
      <c r="H43" s="308"/>
      <c r="I43" s="322" t="s">
        <v>38</v>
      </c>
      <c r="J43" s="322"/>
      <c r="K43" s="322"/>
      <c r="L43" s="322"/>
      <c r="M43" s="90"/>
      <c r="N43" s="322" t="s">
        <v>38</v>
      </c>
      <c r="O43" s="322"/>
      <c r="P43" s="322"/>
      <c r="Q43" s="322"/>
      <c r="R43" s="322"/>
      <c r="S43" s="83"/>
      <c r="T43" s="304" t="s">
        <v>38</v>
      </c>
      <c r="U43" s="304"/>
      <c r="V43" s="304"/>
      <c r="W43" s="304" t="s">
        <v>38</v>
      </c>
      <c r="X43" s="304"/>
      <c r="Y43" s="304"/>
      <c r="Z43" s="90"/>
      <c r="AA43" s="304" t="s">
        <v>38</v>
      </c>
      <c r="AB43" s="304"/>
      <c r="AC43" s="304"/>
      <c r="AD43" s="304"/>
      <c r="AE43" s="304"/>
      <c r="AF43" s="311"/>
    </row>
    <row r="44" spans="8:32" x14ac:dyDescent="0.2">
      <c r="I44" s="113"/>
      <c r="J44" s="113" t="s">
        <v>39</v>
      </c>
      <c r="K44" s="113"/>
      <c r="L44" s="113"/>
      <c r="M44" s="6"/>
      <c r="N44" s="51"/>
      <c r="O44" s="51" t="s">
        <v>40</v>
      </c>
      <c r="P44" s="51"/>
      <c r="Q44" s="51"/>
      <c r="R44" s="51"/>
      <c r="V44" s="1" t="s">
        <v>405</v>
      </c>
      <c r="Z44" s="6"/>
      <c r="AC44" s="1" t="s">
        <v>406</v>
      </c>
    </row>
    <row r="45" spans="8:32" x14ac:dyDescent="0.2">
      <c r="I45" s="1" t="s">
        <v>159</v>
      </c>
    </row>
    <row r="46" spans="8:32" x14ac:dyDescent="0.2">
      <c r="I46" s="1" t="s">
        <v>162</v>
      </c>
      <c r="U46" s="1">
        <v>338</v>
      </c>
    </row>
    <row r="47" spans="8:32" x14ac:dyDescent="0.2">
      <c r="U47" s="1">
        <f>219+211</f>
        <v>430</v>
      </c>
    </row>
    <row r="50" spans="9:9" x14ac:dyDescent="0.2">
      <c r="I50" s="1" t="s">
        <v>163</v>
      </c>
    </row>
    <row r="53" spans="9:9" x14ac:dyDescent="0.2">
      <c r="I53" s="1" t="s">
        <v>164</v>
      </c>
    </row>
    <row r="54" spans="9:9" x14ac:dyDescent="0.2">
      <c r="I54" s="1" t="s">
        <v>165</v>
      </c>
    </row>
    <row r="55" spans="9:9" x14ac:dyDescent="0.2">
      <c r="I55" s="1" t="s">
        <v>166</v>
      </c>
    </row>
    <row r="56" spans="9:9" x14ac:dyDescent="0.2">
      <c r="I56" s="1" t="s">
        <v>167</v>
      </c>
    </row>
  </sheetData>
  <sheetProtection selectLockedCells="1" selectUnlockedCells="1"/>
  <mergeCells count="135">
    <mergeCell ref="I43:L43"/>
    <mergeCell ref="N43:R43"/>
    <mergeCell ref="T43:V43"/>
    <mergeCell ref="W43:Y43"/>
    <mergeCell ref="AA43:AE43"/>
    <mergeCell ref="N40:R40"/>
    <mergeCell ref="T40:V40"/>
    <mergeCell ref="W40:Y40"/>
    <mergeCell ref="AA40:AE40"/>
    <mergeCell ref="N41:N42"/>
    <mergeCell ref="O41:O42"/>
    <mergeCell ref="P41:P42"/>
    <mergeCell ref="Q41:Q42"/>
    <mergeCell ref="R41:R42"/>
    <mergeCell ref="T41:T42"/>
    <mergeCell ref="O38:O39"/>
    <mergeCell ref="Q38:R39"/>
    <mergeCell ref="Y38:Y39"/>
    <mergeCell ref="AA38:AA39"/>
    <mergeCell ref="AD38:AD39"/>
    <mergeCell ref="AE38:AE39"/>
    <mergeCell ref="AD35:AD36"/>
    <mergeCell ref="AE35:AE36"/>
    <mergeCell ref="I37:L37"/>
    <mergeCell ref="N37:R37"/>
    <mergeCell ref="T37:U37"/>
    <mergeCell ref="AA37:AE37"/>
    <mergeCell ref="I32:I33"/>
    <mergeCell ref="L32:L35"/>
    <mergeCell ref="N32:O35"/>
    <mergeCell ref="AC32:AC33"/>
    <mergeCell ref="AD32:AD33"/>
    <mergeCell ref="AE32:AE33"/>
    <mergeCell ref="T34:Y34"/>
    <mergeCell ref="AA34:AE34"/>
    <mergeCell ref="I35:I36"/>
    <mergeCell ref="Y35:Y37"/>
    <mergeCell ref="AD29:AD30"/>
    <mergeCell ref="AE29:AE30"/>
    <mergeCell ref="I31:L31"/>
    <mergeCell ref="T31:V31"/>
    <mergeCell ref="W31:Y31"/>
    <mergeCell ref="AA31:AE31"/>
    <mergeCell ref="I28:L28"/>
    <mergeCell ref="N28:R28"/>
    <mergeCell ref="T28:V28"/>
    <mergeCell ref="W28:Y28"/>
    <mergeCell ref="AA28:AE28"/>
    <mergeCell ref="I29:I30"/>
    <mergeCell ref="L29:L30"/>
    <mergeCell ref="N29:N30"/>
    <mergeCell ref="AA29:AA30"/>
    <mergeCell ref="AB29:AB30"/>
    <mergeCell ref="AA25:AE25"/>
    <mergeCell ref="I26:I27"/>
    <mergeCell ref="L26:L27"/>
    <mergeCell ref="N26:N27"/>
    <mergeCell ref="O26:O27"/>
    <mergeCell ref="P26:R27"/>
    <mergeCell ref="AA26:AA27"/>
    <mergeCell ref="AB26:AB27"/>
    <mergeCell ref="W27:Y27"/>
    <mergeCell ref="G23:G26"/>
    <mergeCell ref="I23:I24"/>
    <mergeCell ref="L23:L24"/>
    <mergeCell ref="N23:N24"/>
    <mergeCell ref="O23:R24"/>
    <mergeCell ref="AD23:AD24"/>
    <mergeCell ref="I25:L25"/>
    <mergeCell ref="N25:R25"/>
    <mergeCell ref="T25:V25"/>
    <mergeCell ref="W25:Y25"/>
    <mergeCell ref="AA20:AA21"/>
    <mergeCell ref="I22:L22"/>
    <mergeCell ref="N22:R22"/>
    <mergeCell ref="T22:V22"/>
    <mergeCell ref="W22:Y22"/>
    <mergeCell ref="AA22:AE22"/>
    <mergeCell ref="H19:H43"/>
    <mergeCell ref="T19:V19"/>
    <mergeCell ref="W19:Y19"/>
    <mergeCell ref="AA19:AE19"/>
    <mergeCell ref="AF19:AF43"/>
    <mergeCell ref="I20:I21"/>
    <mergeCell ref="R20:R21"/>
    <mergeCell ref="V20:V21"/>
    <mergeCell ref="W20:W21"/>
    <mergeCell ref="X20:X21"/>
    <mergeCell ref="N16:O16"/>
    <mergeCell ref="T16:V16"/>
    <mergeCell ref="W16:Y16"/>
    <mergeCell ref="AA16:AE16"/>
    <mergeCell ref="I17:I18"/>
    <mergeCell ref="O17:O19"/>
    <mergeCell ref="R17:R18"/>
    <mergeCell ref="T17:T18"/>
    <mergeCell ref="X17:X18"/>
    <mergeCell ref="Y17:Y18"/>
    <mergeCell ref="T13:V13"/>
    <mergeCell ref="W13:Y13"/>
    <mergeCell ref="AA13:AE13"/>
    <mergeCell ref="I14:I15"/>
    <mergeCell ref="R14:R15"/>
    <mergeCell ref="T14:T15"/>
    <mergeCell ref="U14:U15"/>
    <mergeCell ref="S10:S27"/>
    <mergeCell ref="T10:V10"/>
    <mergeCell ref="W10:Y10"/>
    <mergeCell ref="AA10:AE10"/>
    <mergeCell ref="I11:I12"/>
    <mergeCell ref="J11:J17"/>
    <mergeCell ref="N11:N12"/>
    <mergeCell ref="O11:Q11"/>
    <mergeCell ref="T11:T12"/>
    <mergeCell ref="U11:U12"/>
    <mergeCell ref="AA4:AE4"/>
    <mergeCell ref="J5:J6"/>
    <mergeCell ref="AE5:AE6"/>
    <mergeCell ref="I7:L7"/>
    <mergeCell ref="M7:M21"/>
    <mergeCell ref="N7:R7"/>
    <mergeCell ref="T7:V7"/>
    <mergeCell ref="W7:Y7"/>
    <mergeCell ref="AA7:AE7"/>
    <mergeCell ref="I8:I9"/>
    <mergeCell ref="G4:G6"/>
    <mergeCell ref="I4:L4"/>
    <mergeCell ref="N4:R4"/>
    <mergeCell ref="T4:V4"/>
    <mergeCell ref="W4:Y4"/>
    <mergeCell ref="Z4:Z24"/>
    <mergeCell ref="G8:G11"/>
    <mergeCell ref="R8:R9"/>
    <mergeCell ref="I10:L10"/>
    <mergeCell ref="N10:R10"/>
  </mergeCells>
  <printOptions horizontalCentered="1" verticalCentered="1"/>
  <pageMargins left="0" right="0" top="0.25" bottom="0.25" header="0.51180555555555551" footer="0.51180555555555551"/>
  <pageSetup firstPageNumber="0" orientation="landscape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AT56"/>
  <sheetViews>
    <sheetView topLeftCell="L1" zoomScale="130" zoomScaleNormal="130" workbookViewId="0">
      <selection activeCell="L8" sqref="L8"/>
    </sheetView>
  </sheetViews>
  <sheetFormatPr defaultColWidth="9.42578125" defaultRowHeight="14.25" x14ac:dyDescent="0.2"/>
  <cols>
    <col min="1" max="8" width="9.42578125" style="1"/>
    <col min="9" max="9" width="17.28515625" style="1" customWidth="1"/>
    <col min="10" max="11" width="17.85546875" style="1" customWidth="1"/>
    <col min="12" max="12" width="20.42578125" style="1" customWidth="1"/>
    <col min="13" max="13" width="4.7109375" style="1" customWidth="1"/>
    <col min="14" max="14" width="29" style="1" customWidth="1"/>
    <col min="15" max="15" width="17.28515625" style="1" customWidth="1"/>
    <col min="16" max="16" width="19.42578125" style="1" customWidth="1"/>
    <col min="17" max="17" width="14.85546875" style="1" customWidth="1"/>
    <col min="18" max="18" width="17.85546875" style="1" customWidth="1"/>
    <col min="19" max="19" width="9.42578125" style="1"/>
    <col min="20" max="23" width="17.28515625" style="1" customWidth="1"/>
    <col min="24" max="24" width="15.85546875" style="1" customWidth="1"/>
    <col min="25" max="25" width="17.42578125" style="1" customWidth="1"/>
    <col min="26" max="26" width="9.42578125" style="1"/>
    <col min="27" max="28" width="17.28515625" style="1" customWidth="1"/>
    <col min="29" max="30" width="11.85546875" style="1" customWidth="1"/>
    <col min="31" max="31" width="17.28515625" style="1" customWidth="1"/>
    <col min="32" max="16384" width="9.42578125" style="1"/>
  </cols>
  <sheetData>
    <row r="4" spans="7:46" ht="14.1" customHeight="1" x14ac:dyDescent="0.2">
      <c r="G4" s="303" t="s">
        <v>113</v>
      </c>
      <c r="I4" s="304" t="s">
        <v>1</v>
      </c>
      <c r="J4" s="304"/>
      <c r="K4" s="304"/>
      <c r="L4" s="304"/>
      <c r="N4" s="304" t="s">
        <v>1</v>
      </c>
      <c r="O4" s="304"/>
      <c r="P4" s="304"/>
      <c r="Q4" s="304"/>
      <c r="R4" s="304"/>
      <c r="S4" s="6"/>
      <c r="T4" s="304" t="s">
        <v>1</v>
      </c>
      <c r="U4" s="304"/>
      <c r="V4" s="304"/>
      <c r="W4" s="304" t="s">
        <v>1</v>
      </c>
      <c r="X4" s="304"/>
      <c r="Y4" s="304"/>
      <c r="Z4" s="305" t="s">
        <v>2</v>
      </c>
      <c r="AA4" s="304" t="s">
        <v>1</v>
      </c>
      <c r="AB4" s="304"/>
      <c r="AC4" s="304"/>
      <c r="AD4" s="304"/>
      <c r="AE4" s="304"/>
    </row>
    <row r="5" spans="7:46" ht="14.1" customHeight="1" x14ac:dyDescent="0.2">
      <c r="G5" s="303"/>
      <c r="I5" s="7"/>
      <c r="J5" s="306">
        <v>452</v>
      </c>
      <c r="K5" s="8"/>
      <c r="L5" s="7"/>
      <c r="N5" s="7"/>
      <c r="O5" s="7" t="s">
        <v>407</v>
      </c>
      <c r="P5" s="7"/>
      <c r="Q5" s="7"/>
      <c r="R5" s="7" t="s">
        <v>408</v>
      </c>
      <c r="S5" s="6"/>
      <c r="T5" s="7"/>
      <c r="U5" s="7"/>
      <c r="V5" s="7"/>
      <c r="W5" s="7"/>
      <c r="X5" s="7"/>
      <c r="Y5" s="7"/>
      <c r="Z5" s="305"/>
      <c r="AA5" s="7"/>
      <c r="AB5" s="7"/>
      <c r="AC5" s="7"/>
      <c r="AD5" s="7"/>
      <c r="AE5" s="307" t="s">
        <v>241</v>
      </c>
      <c r="AH5" s="1" t="s">
        <v>409</v>
      </c>
      <c r="AQ5" s="1" t="s">
        <v>410</v>
      </c>
      <c r="AR5" s="1">
        <v>87</v>
      </c>
    </row>
    <row r="6" spans="7:46" x14ac:dyDescent="0.2">
      <c r="G6" s="303"/>
      <c r="I6" s="7"/>
      <c r="J6" s="306"/>
      <c r="K6" s="8"/>
      <c r="L6" s="9" t="s">
        <v>411</v>
      </c>
      <c r="N6" s="6" t="s">
        <v>242</v>
      </c>
      <c r="O6" s="6" t="s">
        <v>243</v>
      </c>
      <c r="P6" s="6" t="s">
        <v>244</v>
      </c>
      <c r="Q6" s="6" t="s">
        <v>245</v>
      </c>
      <c r="R6" s="96" t="s">
        <v>412</v>
      </c>
      <c r="S6" s="6"/>
      <c r="T6" s="7"/>
      <c r="U6" s="7">
        <v>87</v>
      </c>
      <c r="V6" s="7"/>
      <c r="W6" s="7"/>
      <c r="X6" s="7"/>
      <c r="Y6" s="7"/>
      <c r="Z6" s="305"/>
      <c r="AA6" s="7" t="s">
        <v>247</v>
      </c>
      <c r="AB6" s="7"/>
      <c r="AC6" s="7"/>
      <c r="AD6" s="7"/>
      <c r="AE6" s="307"/>
      <c r="AQ6" s="1">
        <v>6</v>
      </c>
      <c r="AR6" s="1">
        <v>8</v>
      </c>
    </row>
    <row r="7" spans="7:46" x14ac:dyDescent="0.2">
      <c r="I7" s="304" t="s">
        <v>4</v>
      </c>
      <c r="J7" s="304"/>
      <c r="K7" s="304"/>
      <c r="L7" s="304"/>
      <c r="M7" s="308" t="s">
        <v>5</v>
      </c>
      <c r="N7" s="304" t="s">
        <v>4</v>
      </c>
      <c r="O7" s="304"/>
      <c r="P7" s="304"/>
      <c r="Q7" s="304"/>
      <c r="R7" s="304"/>
      <c r="S7" s="6"/>
      <c r="T7" s="304" t="s">
        <v>4</v>
      </c>
      <c r="U7" s="304"/>
      <c r="V7" s="304"/>
      <c r="W7" s="304" t="s">
        <v>4</v>
      </c>
      <c r="X7" s="304"/>
      <c r="Y7" s="304"/>
      <c r="Z7" s="305"/>
      <c r="AA7" s="304" t="s">
        <v>4</v>
      </c>
      <c r="AB7" s="304"/>
      <c r="AC7" s="304"/>
      <c r="AD7" s="304"/>
      <c r="AE7" s="304"/>
      <c r="AH7" s="1" t="s">
        <v>413</v>
      </c>
      <c r="AQ7" s="1">
        <v>8</v>
      </c>
      <c r="AR7" s="1">
        <v>10</v>
      </c>
      <c r="AT7" s="1">
        <v>87</v>
      </c>
    </row>
    <row r="8" spans="7:46" ht="15" customHeight="1" x14ac:dyDescent="0.2">
      <c r="G8" s="303" t="s">
        <v>119</v>
      </c>
      <c r="I8" s="1" t="s">
        <v>248</v>
      </c>
      <c r="J8" s="302" t="s">
        <v>249</v>
      </c>
      <c r="K8" s="1" t="s">
        <v>414</v>
      </c>
      <c r="L8" s="13" t="s">
        <v>415</v>
      </c>
      <c r="M8" s="308"/>
      <c r="N8" s="6" t="s">
        <v>252</v>
      </c>
      <c r="O8" s="6" t="s">
        <v>416</v>
      </c>
      <c r="P8" s="6" t="s">
        <v>417</v>
      </c>
      <c r="Q8" s="6"/>
      <c r="R8" s="310" t="s">
        <v>256</v>
      </c>
      <c r="S8" s="6"/>
      <c r="T8" s="7" t="s">
        <v>418</v>
      </c>
      <c r="U8" s="7"/>
      <c r="V8" s="7"/>
      <c r="W8" s="7"/>
      <c r="X8" s="7"/>
      <c r="Y8" s="7"/>
      <c r="Z8" s="305"/>
      <c r="AA8" s="7" t="s">
        <v>257</v>
      </c>
      <c r="AB8" s="7"/>
      <c r="AC8" s="7"/>
      <c r="AD8" s="7"/>
      <c r="AE8" s="7" t="s">
        <v>258</v>
      </c>
      <c r="AH8" s="1" t="s">
        <v>419</v>
      </c>
      <c r="AQ8" s="1">
        <v>16</v>
      </c>
      <c r="AR8" s="1">
        <v>10</v>
      </c>
      <c r="AS8" s="1">
        <v>17</v>
      </c>
      <c r="AT8" s="1">
        <v>36</v>
      </c>
    </row>
    <row r="9" spans="7:46" x14ac:dyDescent="0.2">
      <c r="G9" s="303"/>
      <c r="I9" s="37" t="s">
        <v>420</v>
      </c>
      <c r="J9" s="1" t="s">
        <v>421</v>
      </c>
      <c r="L9" s="1" t="s">
        <v>261</v>
      </c>
      <c r="M9" s="308"/>
      <c r="N9" s="1" t="s">
        <v>422</v>
      </c>
      <c r="O9" s="1" t="s">
        <v>423</v>
      </c>
      <c r="R9" s="310"/>
      <c r="S9" s="1" t="s">
        <v>424</v>
      </c>
      <c r="T9" s="7"/>
      <c r="U9" s="7" t="s">
        <v>425</v>
      </c>
      <c r="V9" s="7"/>
      <c r="W9" s="7"/>
      <c r="X9" s="7"/>
      <c r="Y9" s="7" t="s">
        <v>426</v>
      </c>
      <c r="Z9" s="305"/>
      <c r="AA9" s="7"/>
      <c r="AB9" s="7"/>
      <c r="AC9" s="14">
        <v>87</v>
      </c>
      <c r="AD9" s="7"/>
      <c r="AE9" s="7"/>
      <c r="AH9" s="1">
        <v>9</v>
      </c>
      <c r="AI9" s="1">
        <v>4</v>
      </c>
      <c r="AQ9" s="1">
        <v>20</v>
      </c>
      <c r="AR9" s="1">
        <v>2</v>
      </c>
      <c r="AS9" s="1">
        <v>25</v>
      </c>
      <c r="AT9" s="1">
        <v>4</v>
      </c>
    </row>
    <row r="10" spans="7:46" x14ac:dyDescent="0.2">
      <c r="G10" s="303"/>
      <c r="I10" s="304" t="s">
        <v>7</v>
      </c>
      <c r="J10" s="304"/>
      <c r="K10" s="304"/>
      <c r="L10" s="304"/>
      <c r="M10" s="308"/>
      <c r="N10" s="304" t="s">
        <v>7</v>
      </c>
      <c r="O10" s="304"/>
      <c r="P10" s="304"/>
      <c r="Q10" s="304"/>
      <c r="R10" s="304"/>
      <c r="S10" s="311" t="s">
        <v>8</v>
      </c>
      <c r="T10" s="304" t="s">
        <v>7</v>
      </c>
      <c r="U10" s="304"/>
      <c r="V10" s="304"/>
      <c r="W10" s="304" t="s">
        <v>7</v>
      </c>
      <c r="X10" s="304"/>
      <c r="Y10" s="304"/>
      <c r="Z10" s="305"/>
      <c r="AA10" s="304" t="s">
        <v>7</v>
      </c>
      <c r="AB10" s="304"/>
      <c r="AC10" s="304"/>
      <c r="AD10" s="304"/>
      <c r="AE10" s="304"/>
      <c r="AH10" s="1">
        <v>30</v>
      </c>
      <c r="AI10" s="1">
        <v>5</v>
      </c>
      <c r="AQ10" s="1">
        <v>22</v>
      </c>
      <c r="AR10" s="1">
        <v>10</v>
      </c>
      <c r="AS10" s="1">
        <v>27</v>
      </c>
      <c r="AT10" s="1">
        <v>20</v>
      </c>
    </row>
    <row r="11" spans="7:46" ht="34.5" customHeight="1" x14ac:dyDescent="0.2">
      <c r="G11" s="303"/>
      <c r="I11" s="310" t="s">
        <v>266</v>
      </c>
      <c r="J11" s="15"/>
      <c r="K11" s="15"/>
      <c r="L11" s="16" t="s">
        <v>268</v>
      </c>
      <c r="M11" s="308"/>
      <c r="N11" s="312" t="s">
        <v>269</v>
      </c>
      <c r="O11" s="270" t="s">
        <v>120</v>
      </c>
      <c r="P11" s="270"/>
      <c r="Q11" s="270"/>
      <c r="R11" s="18" t="s">
        <v>270</v>
      </c>
      <c r="S11" s="311"/>
      <c r="T11" s="310" t="s">
        <v>271</v>
      </c>
      <c r="U11" s="19" t="s">
        <v>272</v>
      </c>
      <c r="V11" s="20" t="s">
        <v>273</v>
      </c>
      <c r="W11" s="19" t="s">
        <v>274</v>
      </c>
      <c r="X11" s="19" t="s">
        <v>427</v>
      </c>
      <c r="Y11" s="19" t="s">
        <v>428</v>
      </c>
      <c r="Z11" s="305"/>
      <c r="AA11" s="19" t="s">
        <v>276</v>
      </c>
      <c r="AB11" s="19" t="s">
        <v>277</v>
      </c>
      <c r="AC11" s="19" t="s">
        <v>278</v>
      </c>
      <c r="AD11" s="19" t="s">
        <v>279</v>
      </c>
      <c r="AE11" s="21" t="s">
        <v>280</v>
      </c>
      <c r="AH11" s="1">
        <v>10</v>
      </c>
      <c r="AI11" s="1">
        <v>6</v>
      </c>
      <c r="AQ11" s="1">
        <v>24</v>
      </c>
      <c r="AR11" s="1">
        <v>2</v>
      </c>
      <c r="AS11" s="1">
        <v>33</v>
      </c>
      <c r="AT11" s="1">
        <v>1</v>
      </c>
    </row>
    <row r="12" spans="7:46" x14ac:dyDescent="0.2">
      <c r="I12" s="310"/>
      <c r="J12" s="15"/>
      <c r="K12" s="15"/>
      <c r="L12" s="22"/>
      <c r="M12" s="308"/>
      <c r="N12" s="312"/>
      <c r="R12" s="23" t="s">
        <v>121</v>
      </c>
      <c r="S12" s="311"/>
      <c r="T12" s="310"/>
      <c r="U12" s="1" t="s">
        <v>281</v>
      </c>
      <c r="V12" s="1" t="s">
        <v>429</v>
      </c>
      <c r="W12" s="1" t="s">
        <v>430</v>
      </c>
      <c r="X12" s="1" t="s">
        <v>431</v>
      </c>
      <c r="Y12" s="1" t="s">
        <v>284</v>
      </c>
      <c r="Z12" s="305"/>
      <c r="AA12" s="1" t="s">
        <v>285</v>
      </c>
      <c r="AB12" s="1" t="s">
        <v>286</v>
      </c>
      <c r="AC12" s="1" t="s">
        <v>287</v>
      </c>
      <c r="AD12" s="1" t="s">
        <v>288</v>
      </c>
      <c r="AE12" s="1" t="s">
        <v>289</v>
      </c>
      <c r="AH12" s="1">
        <v>7</v>
      </c>
      <c r="AI12" s="1">
        <v>7</v>
      </c>
      <c r="AQ12" s="1">
        <v>26</v>
      </c>
      <c r="AR12" s="1">
        <v>1</v>
      </c>
      <c r="AS12" s="1">
        <v>35</v>
      </c>
      <c r="AT12" s="1">
        <v>4</v>
      </c>
    </row>
    <row r="13" spans="7:46" x14ac:dyDescent="0.2">
      <c r="I13" s="13" t="s">
        <v>9</v>
      </c>
      <c r="L13" s="22"/>
      <c r="M13" s="308"/>
      <c r="N13" s="29" t="s">
        <v>290</v>
      </c>
      <c r="O13" s="26"/>
      <c r="P13" s="26"/>
      <c r="Q13" s="26"/>
      <c r="R13" s="27" t="s">
        <v>9</v>
      </c>
      <c r="S13" s="311"/>
      <c r="T13" s="304" t="s">
        <v>9</v>
      </c>
      <c r="U13" s="304"/>
      <c r="V13" s="304"/>
      <c r="W13" s="304" t="s">
        <v>9</v>
      </c>
      <c r="X13" s="304"/>
      <c r="Y13" s="304"/>
      <c r="Z13" s="305"/>
      <c r="AA13" s="304" t="s">
        <v>9</v>
      </c>
      <c r="AB13" s="304"/>
      <c r="AC13" s="304"/>
      <c r="AD13" s="304"/>
      <c r="AE13" s="304"/>
      <c r="AH13" s="1">
        <v>7</v>
      </c>
      <c r="AI13" s="1">
        <v>7</v>
      </c>
      <c r="AQ13" s="1">
        <v>30</v>
      </c>
      <c r="AR13" s="1">
        <v>5</v>
      </c>
      <c r="AS13" s="1">
        <v>37</v>
      </c>
      <c r="AT13" s="1">
        <v>10</v>
      </c>
    </row>
    <row r="14" spans="7:46" ht="14.1" customHeight="1" x14ac:dyDescent="0.2">
      <c r="I14" s="310" t="s">
        <v>291</v>
      </c>
      <c r="J14" s="15"/>
      <c r="K14" s="15"/>
      <c r="L14" s="28" t="s">
        <v>292</v>
      </c>
      <c r="M14" s="308"/>
      <c r="N14" s="49"/>
      <c r="O14" s="30" t="s">
        <v>293</v>
      </c>
      <c r="P14" s="30"/>
      <c r="Q14" s="30"/>
      <c r="R14" s="313" t="s">
        <v>122</v>
      </c>
      <c r="S14" s="311"/>
      <c r="T14" s="310" t="s">
        <v>294</v>
      </c>
      <c r="U14" s="1" t="s">
        <v>295</v>
      </c>
      <c r="V14" s="32" t="s">
        <v>132</v>
      </c>
      <c r="W14" s="1" t="s">
        <v>432</v>
      </c>
      <c r="X14" s="1" t="s">
        <v>433</v>
      </c>
      <c r="Y14" s="1" t="s">
        <v>297</v>
      </c>
      <c r="Z14" s="305"/>
      <c r="AA14" s="1" t="s">
        <v>298</v>
      </c>
      <c r="AB14" s="1" t="s">
        <v>299</v>
      </c>
      <c r="AC14" s="1" t="s">
        <v>300</v>
      </c>
      <c r="AD14" s="1" t="s">
        <v>301</v>
      </c>
      <c r="AE14" s="1" t="s">
        <v>302</v>
      </c>
      <c r="AH14" s="1">
        <v>6</v>
      </c>
      <c r="AI14" s="1">
        <v>9</v>
      </c>
      <c r="AQ14" s="1">
        <v>32</v>
      </c>
      <c r="AR14" s="1">
        <v>8</v>
      </c>
      <c r="AS14" s="1">
        <v>41</v>
      </c>
      <c r="AT14" s="1">
        <v>18</v>
      </c>
    </row>
    <row r="15" spans="7:46" ht="27.75" customHeight="1" x14ac:dyDescent="0.2">
      <c r="I15" s="310"/>
      <c r="J15" s="15"/>
      <c r="K15" s="15"/>
      <c r="L15" s="22"/>
      <c r="M15" s="308"/>
      <c r="N15" s="49"/>
      <c r="O15" s="33"/>
      <c r="P15" s="33"/>
      <c r="Q15" s="33"/>
      <c r="R15" s="313"/>
      <c r="S15" s="311"/>
      <c r="T15" s="310"/>
      <c r="U15" s="1" t="s">
        <v>303</v>
      </c>
      <c r="W15" s="1" t="s">
        <v>304</v>
      </c>
      <c r="Y15" s="35" t="s">
        <v>434</v>
      </c>
      <c r="Z15" s="305"/>
      <c r="AA15" s="1" t="s">
        <v>435</v>
      </c>
      <c r="AB15" s="1" t="s">
        <v>436</v>
      </c>
      <c r="AC15" s="386" t="s">
        <v>309</v>
      </c>
      <c r="AD15" s="386"/>
      <c r="AE15" s="37" t="s">
        <v>310</v>
      </c>
      <c r="AH15" s="1">
        <v>8</v>
      </c>
      <c r="AI15" s="1">
        <v>7</v>
      </c>
      <c r="AQ15" s="1">
        <v>36</v>
      </c>
      <c r="AR15" s="1">
        <v>1</v>
      </c>
      <c r="AS15" s="1">
        <v>49</v>
      </c>
      <c r="AT15" s="1">
        <v>10</v>
      </c>
    </row>
    <row r="16" spans="7:46" ht="14.1" customHeight="1" x14ac:dyDescent="0.2">
      <c r="I16" s="38" t="s">
        <v>13</v>
      </c>
      <c r="J16" s="39"/>
      <c r="K16" s="39"/>
      <c r="L16" s="40"/>
      <c r="M16" s="308"/>
      <c r="N16" s="387" t="s">
        <v>10</v>
      </c>
      <c r="O16" s="387"/>
      <c r="P16" s="41"/>
      <c r="Q16" s="41"/>
      <c r="R16" s="42" t="s">
        <v>14</v>
      </c>
      <c r="S16" s="311"/>
      <c r="T16" s="304" t="s">
        <v>13</v>
      </c>
      <c r="U16" s="304"/>
      <c r="V16" s="304"/>
      <c r="W16" s="304" t="s">
        <v>13</v>
      </c>
      <c r="X16" s="304"/>
      <c r="Y16" s="304"/>
      <c r="Z16" s="305"/>
      <c r="AA16" s="304" t="s">
        <v>13</v>
      </c>
      <c r="AB16" s="304"/>
      <c r="AC16" s="304"/>
      <c r="AD16" s="304"/>
      <c r="AE16" s="304"/>
      <c r="AH16" s="1">
        <v>53</v>
      </c>
      <c r="AQ16" s="1">
        <v>38</v>
      </c>
      <c r="AR16" s="1">
        <v>8</v>
      </c>
      <c r="AS16" s="1">
        <v>51</v>
      </c>
      <c r="AT16" s="1">
        <v>10</v>
      </c>
    </row>
    <row r="17" spans="1:46" ht="23.85" customHeight="1" x14ac:dyDescent="0.2">
      <c r="I17" s="310" t="s">
        <v>311</v>
      </c>
      <c r="J17" s="15"/>
      <c r="K17" s="15"/>
      <c r="L17" s="28" t="s">
        <v>312</v>
      </c>
      <c r="M17" s="308"/>
      <c r="N17" s="49"/>
      <c r="O17" s="404" t="s">
        <v>313</v>
      </c>
      <c r="P17" s="15"/>
      <c r="Q17" s="15"/>
      <c r="R17" s="315" t="s">
        <v>314</v>
      </c>
      <c r="S17" s="311"/>
      <c r="T17" s="310" t="s">
        <v>315</v>
      </c>
      <c r="U17" s="19" t="s">
        <v>316</v>
      </c>
      <c r="V17" s="44" t="s">
        <v>437</v>
      </c>
      <c r="W17" s="408" t="s">
        <v>438</v>
      </c>
      <c r="Y17" s="310" t="s">
        <v>318</v>
      </c>
      <c r="Z17" s="305"/>
      <c r="AA17" s="1" t="s">
        <v>439</v>
      </c>
      <c r="AB17" s="46" t="s">
        <v>440</v>
      </c>
      <c r="AC17" s="1" t="s">
        <v>441</v>
      </c>
      <c r="AD17" s="1" t="s">
        <v>442</v>
      </c>
      <c r="AE17" s="47" t="s">
        <v>123</v>
      </c>
      <c r="AH17" s="1">
        <v>61</v>
      </c>
      <c r="AQ17" s="1">
        <v>40</v>
      </c>
      <c r="AR17" s="1">
        <v>8</v>
      </c>
      <c r="AS17" s="1">
        <v>53</v>
      </c>
      <c r="AT17" s="1">
        <v>5</v>
      </c>
    </row>
    <row r="18" spans="1:46" x14ac:dyDescent="0.2">
      <c r="A18" s="1" t="s">
        <v>221</v>
      </c>
      <c r="I18" s="310"/>
      <c r="J18" s="15"/>
      <c r="K18" s="15"/>
      <c r="L18" s="22"/>
      <c r="M18" s="308"/>
      <c r="N18" s="49"/>
      <c r="O18" s="404"/>
      <c r="P18" s="15"/>
      <c r="Q18" s="15"/>
      <c r="R18" s="315"/>
      <c r="S18" s="311"/>
      <c r="T18" s="310"/>
      <c r="U18" s="13" t="s">
        <v>323</v>
      </c>
      <c r="V18" s="51" t="s">
        <v>124</v>
      </c>
      <c r="W18" s="408"/>
      <c r="Y18" s="310"/>
      <c r="Z18" s="305"/>
      <c r="AA18" s="1" t="s">
        <v>443</v>
      </c>
      <c r="AB18" s="1" t="s">
        <v>327</v>
      </c>
      <c r="AC18" s="1" t="s">
        <v>328</v>
      </c>
      <c r="AE18" s="1" t="s">
        <v>329</v>
      </c>
      <c r="AH18" s="1">
        <v>42</v>
      </c>
      <c r="AQ18" s="1">
        <v>42</v>
      </c>
      <c r="AR18" s="1">
        <v>1</v>
      </c>
      <c r="AS18" s="1">
        <v>59</v>
      </c>
      <c r="AT18" s="1">
        <v>40</v>
      </c>
    </row>
    <row r="19" spans="1:46" ht="22.5" customHeight="1" x14ac:dyDescent="0.2">
      <c r="H19" s="311" t="s">
        <v>125</v>
      </c>
      <c r="I19" s="38" t="s">
        <v>18</v>
      </c>
      <c r="J19" s="39"/>
      <c r="K19" s="39"/>
      <c r="L19" s="40"/>
      <c r="M19" s="308"/>
      <c r="N19" s="53" t="s">
        <v>330</v>
      </c>
      <c r="O19" s="404"/>
      <c r="P19" s="15"/>
      <c r="Q19" s="15"/>
      <c r="R19" s="42" t="s">
        <v>126</v>
      </c>
      <c r="S19" s="311"/>
      <c r="T19" s="304" t="s">
        <v>18</v>
      </c>
      <c r="U19" s="304"/>
      <c r="V19" s="304"/>
      <c r="W19" s="304" t="s">
        <v>18</v>
      </c>
      <c r="X19" s="304"/>
      <c r="Y19" s="304"/>
      <c r="Z19" s="305"/>
      <c r="AA19" s="304" t="s">
        <v>18</v>
      </c>
      <c r="AB19" s="304"/>
      <c r="AC19" s="304"/>
      <c r="AD19" s="304"/>
      <c r="AE19" s="304"/>
      <c r="AF19" s="311" t="s">
        <v>127</v>
      </c>
      <c r="AH19" s="1">
        <f>SUM(AH9:AH18)</f>
        <v>233</v>
      </c>
      <c r="AI19" s="1">
        <f>SUM(AI9:AI18)</f>
        <v>45</v>
      </c>
      <c r="AJ19" s="1">
        <f>AI19+AH19</f>
        <v>278</v>
      </c>
      <c r="AK19" s="1">
        <v>378</v>
      </c>
      <c r="AL19" s="1">
        <f>AK19+AJ19</f>
        <v>656</v>
      </c>
      <c r="AQ19" s="1">
        <v>44</v>
      </c>
      <c r="AR19" s="1">
        <v>8</v>
      </c>
      <c r="AS19" s="1">
        <v>67</v>
      </c>
      <c r="AT19" s="1">
        <v>15</v>
      </c>
    </row>
    <row r="20" spans="1:46" ht="30" customHeight="1" x14ac:dyDescent="0.2">
      <c r="H20" s="311"/>
      <c r="I20" s="310" t="s">
        <v>331</v>
      </c>
      <c r="J20" s="15"/>
      <c r="K20" s="15"/>
      <c r="L20" s="22"/>
      <c r="M20" s="308"/>
      <c r="N20" s="49"/>
      <c r="O20" s="33"/>
      <c r="P20" s="33"/>
      <c r="Q20" s="33"/>
      <c r="R20" s="318" t="s">
        <v>444</v>
      </c>
      <c r="S20" s="311"/>
      <c r="T20" s="55" t="s">
        <v>333</v>
      </c>
      <c r="U20" s="1" t="s">
        <v>334</v>
      </c>
      <c r="V20" s="310" t="s">
        <v>335</v>
      </c>
      <c r="W20" s="319" t="s">
        <v>445</v>
      </c>
      <c r="X20" s="409" t="s">
        <v>446</v>
      </c>
      <c r="Y20" s="409"/>
      <c r="Z20" s="305"/>
      <c r="AA20" s="397" t="s">
        <v>128</v>
      </c>
      <c r="AB20" s="1" t="s">
        <v>337</v>
      </c>
      <c r="AC20" s="285" t="s">
        <v>128</v>
      </c>
      <c r="AD20" s="285"/>
      <c r="AE20" s="37" t="s">
        <v>338</v>
      </c>
      <c r="AF20" s="311"/>
      <c r="AQ20" s="1">
        <v>46</v>
      </c>
      <c r="AR20" s="1">
        <v>8</v>
      </c>
      <c r="AS20" s="1">
        <v>75</v>
      </c>
      <c r="AT20" s="1">
        <v>10</v>
      </c>
    </row>
    <row r="21" spans="1:46" ht="25.5" customHeight="1" x14ac:dyDescent="0.2">
      <c r="H21" s="311"/>
      <c r="I21" s="310"/>
      <c r="J21" s="15"/>
      <c r="K21" s="15"/>
      <c r="L21" s="59" t="s">
        <v>447</v>
      </c>
      <c r="M21" s="308"/>
      <c r="N21" s="60" t="s">
        <v>340</v>
      </c>
      <c r="O21" s="61"/>
      <c r="P21" s="61"/>
      <c r="Q21" s="61"/>
      <c r="R21" s="318"/>
      <c r="S21" s="311"/>
      <c r="T21" s="55" t="s">
        <v>341</v>
      </c>
      <c r="U21" s="62" t="s">
        <v>129</v>
      </c>
      <c r="V21" s="310"/>
      <c r="W21" s="319"/>
      <c r="X21" s="330" t="s">
        <v>448</v>
      </c>
      <c r="Y21" s="330"/>
      <c r="Z21" s="305"/>
      <c r="AA21" s="397"/>
      <c r="AB21" s="285"/>
      <c r="AC21" s="285"/>
      <c r="AD21" s="285" t="s">
        <v>128</v>
      </c>
      <c r="AE21" s="37" t="s">
        <v>343</v>
      </c>
      <c r="AF21" s="311"/>
      <c r="AQ21" s="1">
        <v>52</v>
      </c>
      <c r="AR21" s="1">
        <v>8</v>
      </c>
      <c r="AT21" s="1">
        <f>SUM(AT8:AT20)</f>
        <v>183</v>
      </c>
    </row>
    <row r="22" spans="1:46" ht="14.1" customHeight="1" x14ac:dyDescent="0.2">
      <c r="H22" s="311"/>
      <c r="I22" s="322" t="s">
        <v>22</v>
      </c>
      <c r="J22" s="322"/>
      <c r="K22" s="322"/>
      <c r="L22" s="322"/>
      <c r="M22" s="83"/>
      <c r="N22" s="304" t="s">
        <v>22</v>
      </c>
      <c r="O22" s="304"/>
      <c r="P22" s="304"/>
      <c r="Q22" s="304"/>
      <c r="R22" s="304"/>
      <c r="S22" s="311"/>
      <c r="T22" s="304" t="s">
        <v>22</v>
      </c>
      <c r="U22" s="304"/>
      <c r="V22" s="304"/>
      <c r="W22" s="304" t="s">
        <v>22</v>
      </c>
      <c r="X22" s="304"/>
      <c r="Y22" s="304"/>
      <c r="Z22" s="305"/>
      <c r="AA22" s="304" t="s">
        <v>22</v>
      </c>
      <c r="AB22" s="304"/>
      <c r="AC22" s="304"/>
      <c r="AD22" s="304"/>
      <c r="AE22" s="304"/>
      <c r="AF22" s="311"/>
      <c r="AQ22" s="1">
        <v>54</v>
      </c>
      <c r="AR22" s="1">
        <v>8</v>
      </c>
    </row>
    <row r="23" spans="1:46" ht="14.1" customHeight="1" x14ac:dyDescent="0.2">
      <c r="G23" s="303" t="s">
        <v>130</v>
      </c>
      <c r="H23" s="311"/>
      <c r="I23" s="310" t="s">
        <v>344</v>
      </c>
      <c r="J23" s="66"/>
      <c r="K23" s="66"/>
      <c r="L23" s="397" t="s">
        <v>128</v>
      </c>
      <c r="M23" s="65"/>
      <c r="N23" s="388" t="s">
        <v>39</v>
      </c>
      <c r="P23" s="389" t="s">
        <v>131</v>
      </c>
      <c r="Q23" s="389"/>
      <c r="R23" s="389"/>
      <c r="S23" s="311"/>
      <c r="T23" s="1" t="s">
        <v>345</v>
      </c>
      <c r="U23" s="32" t="s">
        <v>132</v>
      </c>
      <c r="V23" s="67"/>
      <c r="W23" s="68"/>
      <c r="X23" s="68"/>
      <c r="Y23" s="68"/>
      <c r="Z23" s="305"/>
      <c r="AA23" s="13" t="s">
        <v>346</v>
      </c>
      <c r="AB23" s="69" t="s">
        <v>133</v>
      </c>
      <c r="AC23" s="1" t="s">
        <v>348</v>
      </c>
      <c r="AD23" s="331" t="s">
        <v>349</v>
      </c>
      <c r="AE23" s="37" t="s">
        <v>350</v>
      </c>
      <c r="AF23" s="311"/>
      <c r="AQ23" s="1">
        <v>56</v>
      </c>
      <c r="AR23" s="1">
        <v>4</v>
      </c>
    </row>
    <row r="24" spans="1:46" x14ac:dyDescent="0.2">
      <c r="G24" s="303"/>
      <c r="H24" s="311"/>
      <c r="I24" s="310"/>
      <c r="J24" s="75"/>
      <c r="K24" s="75"/>
      <c r="L24" s="397"/>
      <c r="M24" s="65"/>
      <c r="N24" s="388"/>
      <c r="P24" s="389"/>
      <c r="Q24" s="389"/>
      <c r="R24" s="389"/>
      <c r="S24" s="311"/>
      <c r="T24" s="68"/>
      <c r="U24" s="68"/>
      <c r="V24" s="68"/>
      <c r="W24" s="71"/>
      <c r="X24" s="71"/>
      <c r="Y24" s="71"/>
      <c r="Z24" s="305"/>
      <c r="AA24" s="32" t="s">
        <v>134</v>
      </c>
      <c r="AB24" s="1" t="s">
        <v>351</v>
      </c>
      <c r="AC24" s="72" t="s">
        <v>135</v>
      </c>
      <c r="AD24" s="331"/>
      <c r="AE24" s="32" t="s">
        <v>136</v>
      </c>
      <c r="AF24" s="311"/>
      <c r="AQ24" s="1">
        <v>60</v>
      </c>
      <c r="AR24" s="1">
        <v>8</v>
      </c>
    </row>
    <row r="25" spans="1:46" ht="14.1" customHeight="1" x14ac:dyDescent="0.2">
      <c r="G25" s="303"/>
      <c r="H25" s="311"/>
      <c r="I25" s="304" t="s">
        <v>24</v>
      </c>
      <c r="J25" s="304"/>
      <c r="K25" s="304"/>
      <c r="L25" s="304"/>
      <c r="M25" s="65"/>
      <c r="N25" s="304" t="s">
        <v>24</v>
      </c>
      <c r="O25" s="304"/>
      <c r="P25" s="304"/>
      <c r="Q25" s="304"/>
      <c r="R25" s="304"/>
      <c r="S25" s="311"/>
      <c r="T25" s="328"/>
      <c r="U25" s="328"/>
      <c r="V25" s="328"/>
      <c r="W25" s="328"/>
      <c r="X25" s="328"/>
      <c r="Y25" s="328"/>
      <c r="Z25" s="65"/>
      <c r="AA25" s="322" t="s">
        <v>24</v>
      </c>
      <c r="AB25" s="322"/>
      <c r="AC25" s="322"/>
      <c r="AD25" s="322"/>
      <c r="AE25" s="322"/>
      <c r="AF25" s="311"/>
      <c r="AQ25" s="1">
        <v>62</v>
      </c>
      <c r="AR25" s="1">
        <v>9</v>
      </c>
    </row>
    <row r="26" spans="1:46" ht="30" customHeight="1" x14ac:dyDescent="0.2">
      <c r="G26" s="303"/>
      <c r="H26" s="311"/>
      <c r="I26" s="310" t="s">
        <v>352</v>
      </c>
      <c r="J26" s="15"/>
      <c r="K26" s="15"/>
      <c r="L26" s="310" t="s">
        <v>353</v>
      </c>
      <c r="M26" s="65"/>
      <c r="N26" s="391" t="s">
        <v>354</v>
      </c>
      <c r="O26" s="392" t="s">
        <v>355</v>
      </c>
      <c r="P26" s="389" t="s">
        <v>138</v>
      </c>
      <c r="Q26" s="389"/>
      <c r="R26" s="389"/>
      <c r="S26" s="311"/>
      <c r="T26" s="71"/>
      <c r="U26" s="71"/>
      <c r="V26" s="71"/>
      <c r="W26" s="71"/>
      <c r="X26" s="71"/>
      <c r="Y26" s="71"/>
      <c r="Z26" s="65"/>
      <c r="AA26" s="331" t="s">
        <v>449</v>
      </c>
      <c r="AB26" s="78" t="s">
        <v>450</v>
      </c>
      <c r="AC26" s="410" t="s">
        <v>451</v>
      </c>
      <c r="AD26" s="410"/>
      <c r="AE26" s="4" t="s">
        <v>359</v>
      </c>
      <c r="AF26" s="311"/>
      <c r="AQ26" s="1">
        <v>64</v>
      </c>
      <c r="AR26" s="1">
        <v>33</v>
      </c>
    </row>
    <row r="27" spans="1:46" ht="14.1" customHeight="1" x14ac:dyDescent="0.2">
      <c r="H27" s="311"/>
      <c r="I27" s="310"/>
      <c r="J27" s="15"/>
      <c r="K27" s="15"/>
      <c r="L27" s="310"/>
      <c r="M27" s="65"/>
      <c r="N27" s="391"/>
      <c r="O27" s="392"/>
      <c r="P27" s="389"/>
      <c r="Q27" s="389"/>
      <c r="R27" s="389"/>
      <c r="S27" s="311"/>
      <c r="T27" s="328" t="s">
        <v>26</v>
      </c>
      <c r="U27" s="328"/>
      <c r="V27" s="328"/>
      <c r="W27" s="328" t="s">
        <v>26</v>
      </c>
      <c r="X27" s="328"/>
      <c r="Y27" s="328"/>
      <c r="Z27" s="65"/>
      <c r="AA27" s="331"/>
      <c r="AB27" s="1" t="s">
        <v>452</v>
      </c>
      <c r="AC27" s="1" t="s">
        <v>453</v>
      </c>
      <c r="AE27" s="1" t="s">
        <v>454</v>
      </c>
      <c r="AF27" s="311"/>
      <c r="AR27" s="1">
        <f>SUM(AR6:AR26)</f>
        <v>160</v>
      </c>
    </row>
    <row r="28" spans="1:46" x14ac:dyDescent="0.2">
      <c r="H28" s="311"/>
      <c r="I28" s="304" t="s">
        <v>27</v>
      </c>
      <c r="J28" s="304"/>
      <c r="K28" s="304"/>
      <c r="L28" s="304"/>
      <c r="M28" s="65"/>
      <c r="N28" s="322" t="s">
        <v>27</v>
      </c>
      <c r="O28" s="322"/>
      <c r="P28" s="322"/>
      <c r="Q28" s="322"/>
      <c r="R28" s="322"/>
      <c r="S28" s="65"/>
      <c r="T28" s="328"/>
      <c r="U28" s="328"/>
      <c r="V28" s="328"/>
      <c r="W28" s="328"/>
      <c r="X28" s="328"/>
      <c r="Y28" s="328"/>
      <c r="Z28" s="83"/>
      <c r="AA28" s="304" t="s">
        <v>27</v>
      </c>
      <c r="AB28" s="304"/>
      <c r="AC28" s="304"/>
      <c r="AD28" s="304"/>
      <c r="AE28" s="304"/>
      <c r="AF28" s="311"/>
      <c r="AQ28" s="1">
        <v>100</v>
      </c>
    </row>
    <row r="29" spans="1:46" ht="14.1" customHeight="1" x14ac:dyDescent="0.2">
      <c r="H29" s="311"/>
      <c r="I29" s="310" t="s">
        <v>363</v>
      </c>
      <c r="J29" s="15"/>
      <c r="K29" s="15"/>
      <c r="L29" s="332" t="s">
        <v>139</v>
      </c>
      <c r="M29" s="83"/>
      <c r="N29" s="399" t="s">
        <v>140</v>
      </c>
      <c r="O29" s="26" t="s">
        <v>364</v>
      </c>
      <c r="P29" s="26" t="s">
        <v>365</v>
      </c>
      <c r="Q29" s="84" t="s">
        <v>141</v>
      </c>
      <c r="R29" s="85"/>
      <c r="T29" s="71"/>
      <c r="U29" s="71"/>
      <c r="V29" s="71"/>
      <c r="W29" s="71"/>
      <c r="X29" s="71"/>
      <c r="Y29" s="71"/>
      <c r="Z29" s="83"/>
      <c r="AA29" s="310" t="s">
        <v>455</v>
      </c>
      <c r="AB29" s="394" t="s">
        <v>367</v>
      </c>
      <c r="AC29" s="394"/>
      <c r="AD29" s="335" t="s">
        <v>142</v>
      </c>
      <c r="AE29" s="336" t="s">
        <v>143</v>
      </c>
      <c r="AF29" s="311"/>
      <c r="AQ29" s="1">
        <v>102</v>
      </c>
      <c r="AS29" s="1">
        <v>101</v>
      </c>
    </row>
    <row r="30" spans="1:46" x14ac:dyDescent="0.2">
      <c r="H30" s="311"/>
      <c r="I30" s="310"/>
      <c r="J30" s="15"/>
      <c r="K30" s="15"/>
      <c r="L30" s="332"/>
      <c r="M30" s="83"/>
      <c r="N30" s="399"/>
      <c r="O30" s="61" t="s">
        <v>368</v>
      </c>
      <c r="P30" s="61"/>
      <c r="Q30" s="33"/>
      <c r="R30" s="87"/>
      <c r="T30" s="71"/>
      <c r="U30" s="71"/>
      <c r="V30" s="71"/>
      <c r="W30" s="71"/>
      <c r="X30" s="71"/>
      <c r="Y30" s="71"/>
      <c r="Z30" s="83"/>
      <c r="AA30" s="310"/>
      <c r="AB30" s="88" t="s">
        <v>456</v>
      </c>
      <c r="AC30" s="1" t="s">
        <v>457</v>
      </c>
      <c r="AD30" s="335"/>
      <c r="AE30" s="336"/>
      <c r="AF30" s="311"/>
      <c r="AQ30" s="1">
        <v>104</v>
      </c>
    </row>
    <row r="31" spans="1:46" x14ac:dyDescent="0.2">
      <c r="H31" s="311"/>
      <c r="I31" s="304" t="s">
        <v>29</v>
      </c>
      <c r="J31" s="304"/>
      <c r="K31" s="304"/>
      <c r="L31" s="304"/>
      <c r="M31" s="83"/>
      <c r="N31" s="29"/>
      <c r="R31" s="87"/>
      <c r="T31" s="328"/>
      <c r="U31" s="328"/>
      <c r="V31" s="328"/>
      <c r="W31" s="328"/>
      <c r="X31" s="328"/>
      <c r="Y31" s="328"/>
      <c r="Z31" s="83"/>
      <c r="AA31" s="304" t="s">
        <v>29</v>
      </c>
      <c r="AB31" s="304"/>
      <c r="AC31" s="304"/>
      <c r="AD31" s="304"/>
      <c r="AE31" s="304"/>
      <c r="AF31" s="311"/>
      <c r="AQ31" s="1">
        <v>108</v>
      </c>
    </row>
    <row r="32" spans="1:46" ht="15" customHeight="1" x14ac:dyDescent="0.2">
      <c r="H32" s="311"/>
      <c r="I32" s="310" t="s">
        <v>370</v>
      </c>
      <c r="J32" s="89" t="s">
        <v>371</v>
      </c>
      <c r="K32" s="89"/>
      <c r="L32" s="337" t="s">
        <v>372</v>
      </c>
      <c r="M32" s="83"/>
      <c r="N32" s="314" t="s">
        <v>373</v>
      </c>
      <c r="O32" s="314"/>
      <c r="P32" s="4"/>
      <c r="Q32" s="4"/>
      <c r="R32" s="87"/>
      <c r="S32" s="90"/>
      <c r="T32" s="71"/>
      <c r="U32" s="71"/>
      <c r="V32" s="71"/>
      <c r="W32" s="71"/>
      <c r="X32" s="71"/>
      <c r="Y32" s="71"/>
      <c r="Z32" s="83"/>
      <c r="AA32" s="62" t="s">
        <v>144</v>
      </c>
      <c r="AC32" s="309" t="s">
        <v>11</v>
      </c>
      <c r="AD32" s="310" t="s">
        <v>374</v>
      </c>
      <c r="AE32" s="310" t="s">
        <v>375</v>
      </c>
      <c r="AF32" s="311"/>
      <c r="AQ32" s="1">
        <v>110</v>
      </c>
    </row>
    <row r="33" spans="8:43" x14ac:dyDescent="0.2">
      <c r="H33" s="311"/>
      <c r="I33" s="310"/>
      <c r="J33" s="15"/>
      <c r="K33" s="15"/>
      <c r="L33" s="337"/>
      <c r="M33" s="83"/>
      <c r="N33" s="314"/>
      <c r="O33" s="314"/>
      <c r="P33" s="4"/>
      <c r="Q33" s="4"/>
      <c r="R33" s="87"/>
      <c r="S33" s="90"/>
      <c r="T33" s="91"/>
      <c r="U33" s="91"/>
      <c r="V33" s="91"/>
      <c r="W33" s="91"/>
      <c r="X33" s="91"/>
      <c r="Y33" s="91"/>
      <c r="Z33" s="83"/>
      <c r="AA33" s="1" t="s">
        <v>376</v>
      </c>
      <c r="AB33" s="92" t="s">
        <v>145</v>
      </c>
      <c r="AC33" s="309"/>
      <c r="AD33" s="310"/>
      <c r="AE33" s="310"/>
      <c r="AF33" s="311"/>
      <c r="AQ33" s="1">
        <v>112</v>
      </c>
    </row>
    <row r="34" spans="8:43" x14ac:dyDescent="0.2">
      <c r="H34" s="311"/>
      <c r="I34" s="38" t="s">
        <v>30</v>
      </c>
      <c r="J34" s="39"/>
      <c r="K34" s="39"/>
      <c r="L34" s="337"/>
      <c r="M34" s="83"/>
      <c r="N34" s="314"/>
      <c r="O34" s="314"/>
      <c r="P34" s="4"/>
      <c r="Q34" s="4"/>
      <c r="R34" s="87"/>
      <c r="S34" s="90"/>
      <c r="T34" s="338" t="s">
        <v>30</v>
      </c>
      <c r="U34" s="338"/>
      <c r="V34" s="338"/>
      <c r="W34" s="338"/>
      <c r="X34" s="338"/>
      <c r="Y34" s="338"/>
      <c r="Z34" s="83"/>
      <c r="AA34" s="304" t="s">
        <v>30</v>
      </c>
      <c r="AB34" s="304"/>
      <c r="AC34" s="304"/>
      <c r="AD34" s="304"/>
      <c r="AE34" s="304"/>
      <c r="AF34" s="311"/>
      <c r="AQ34" s="1">
        <v>114</v>
      </c>
    </row>
    <row r="35" spans="8:43" ht="15" customHeight="1" x14ac:dyDescent="0.2">
      <c r="H35" s="311"/>
      <c r="I35" s="310" t="s">
        <v>458</v>
      </c>
      <c r="J35" s="32" t="s">
        <v>146</v>
      </c>
      <c r="K35" s="32"/>
      <c r="L35" s="337"/>
      <c r="M35" s="83"/>
      <c r="N35" s="314"/>
      <c r="O35" s="314"/>
      <c r="P35" s="4"/>
      <c r="Q35" s="4"/>
      <c r="R35" s="87"/>
      <c r="S35" s="83"/>
      <c r="T35" s="1" t="s">
        <v>378</v>
      </c>
      <c r="U35" s="13">
        <v>191</v>
      </c>
      <c r="V35" s="51"/>
      <c r="W35" s="51"/>
      <c r="X35" s="93"/>
      <c r="Y35" s="339" t="s">
        <v>379</v>
      </c>
      <c r="Z35" s="83"/>
      <c r="AA35" s="1" t="s">
        <v>380</v>
      </c>
      <c r="AB35" s="1" t="s">
        <v>381</v>
      </c>
      <c r="AD35" s="304" t="s">
        <v>11</v>
      </c>
      <c r="AE35" s="310" t="s">
        <v>382</v>
      </c>
      <c r="AF35" s="311"/>
    </row>
    <row r="36" spans="8:43" ht="15" x14ac:dyDescent="0.2">
      <c r="H36" s="311"/>
      <c r="I36" s="310"/>
      <c r="J36" s="15"/>
      <c r="K36" s="15"/>
      <c r="L36" s="37" t="s">
        <v>383</v>
      </c>
      <c r="M36" s="83"/>
      <c r="N36" s="94"/>
      <c r="O36" s="72" t="s">
        <v>32</v>
      </c>
      <c r="P36" s="72"/>
      <c r="Q36" s="72"/>
      <c r="R36" s="95"/>
      <c r="S36" s="83"/>
      <c r="T36" s="6"/>
      <c r="U36" s="6" t="s">
        <v>384</v>
      </c>
      <c r="V36" s="97" t="s">
        <v>147</v>
      </c>
      <c r="W36" s="51"/>
      <c r="X36" s="51"/>
      <c r="Y36" s="339"/>
      <c r="Z36" s="83"/>
      <c r="AA36" s="1" t="s">
        <v>385</v>
      </c>
      <c r="AB36" s="98" t="s">
        <v>145</v>
      </c>
      <c r="AC36" s="98" t="s">
        <v>145</v>
      </c>
      <c r="AD36" s="304"/>
      <c r="AE36" s="310"/>
      <c r="AF36" s="311"/>
    </row>
    <row r="37" spans="8:43" x14ac:dyDescent="0.2">
      <c r="H37" s="311"/>
      <c r="I37" s="304" t="s">
        <v>34</v>
      </c>
      <c r="J37" s="304"/>
      <c r="K37" s="304"/>
      <c r="L37" s="304"/>
      <c r="M37" s="83"/>
      <c r="N37" s="304" t="s">
        <v>34</v>
      </c>
      <c r="O37" s="304"/>
      <c r="P37" s="304"/>
      <c r="Q37" s="304"/>
      <c r="R37" s="304"/>
      <c r="S37" s="83"/>
      <c r="T37" s="338" t="s">
        <v>34</v>
      </c>
      <c r="U37" s="338"/>
      <c r="V37" s="99"/>
      <c r="W37" s="51"/>
      <c r="X37" s="51"/>
      <c r="Y37" s="339"/>
      <c r="Z37" s="83"/>
      <c r="AA37" s="304" t="s">
        <v>34</v>
      </c>
      <c r="AB37" s="304"/>
      <c r="AC37" s="304"/>
      <c r="AD37" s="304"/>
      <c r="AE37" s="304"/>
      <c r="AF37" s="311"/>
    </row>
    <row r="38" spans="8:43" ht="14.85" customHeight="1" x14ac:dyDescent="0.2">
      <c r="H38" s="311"/>
      <c r="I38" s="29"/>
      <c r="J38" s="26"/>
      <c r="K38" s="26"/>
      <c r="L38" s="100" t="s">
        <v>386</v>
      </c>
      <c r="M38" s="83"/>
      <c r="N38" s="46" t="s">
        <v>148</v>
      </c>
      <c r="O38" s="310" t="s">
        <v>387</v>
      </c>
      <c r="P38" s="1" t="s">
        <v>388</v>
      </c>
      <c r="R38" s="340" t="s">
        <v>149</v>
      </c>
      <c r="S38" s="83"/>
      <c r="U38" s="51"/>
      <c r="V38" s="51"/>
      <c r="W38" s="51"/>
      <c r="X38" s="51"/>
      <c r="Y38" s="341"/>
      <c r="Z38" s="83"/>
      <c r="AA38" s="309" t="s">
        <v>389</v>
      </c>
      <c r="AB38" s="1" t="s">
        <v>390</v>
      </c>
      <c r="AD38" s="92" t="s">
        <v>145</v>
      </c>
      <c r="AE38" s="342" t="s">
        <v>391</v>
      </c>
      <c r="AF38" s="311"/>
    </row>
    <row r="39" spans="8:43" ht="15" x14ac:dyDescent="0.25">
      <c r="H39" s="311"/>
      <c r="I39" s="101" t="s">
        <v>150</v>
      </c>
      <c r="J39" s="41"/>
      <c r="K39" s="41"/>
      <c r="L39" s="102" t="s">
        <v>151</v>
      </c>
      <c r="M39" s="83"/>
      <c r="N39" s="103" t="s">
        <v>392</v>
      </c>
      <c r="O39" s="310"/>
      <c r="P39" s="103" t="s">
        <v>393</v>
      </c>
      <c r="Q39" s="103"/>
      <c r="R39" s="340"/>
      <c r="S39" s="83"/>
      <c r="T39" s="1" t="s">
        <v>394</v>
      </c>
      <c r="U39" s="104" t="s">
        <v>395</v>
      </c>
      <c r="V39" s="51"/>
      <c r="W39" s="51"/>
      <c r="X39" s="51"/>
      <c r="Y39" s="341"/>
      <c r="Z39" s="83"/>
      <c r="AA39" s="309"/>
      <c r="AB39" s="92" t="s">
        <v>145</v>
      </c>
      <c r="AC39" s="92" t="s">
        <v>145</v>
      </c>
      <c r="AD39" s="72" t="s">
        <v>135</v>
      </c>
      <c r="AE39" s="342"/>
      <c r="AF39" s="311"/>
    </row>
    <row r="40" spans="8:43" x14ac:dyDescent="0.2">
      <c r="H40" s="311"/>
      <c r="I40" s="101" t="s">
        <v>152</v>
      </c>
      <c r="J40" s="41"/>
      <c r="K40" s="41"/>
      <c r="L40" s="87"/>
      <c r="M40" s="83"/>
      <c r="N40" s="304" t="s">
        <v>36</v>
      </c>
      <c r="O40" s="304"/>
      <c r="P40" s="304"/>
      <c r="Q40" s="304"/>
      <c r="R40" s="304"/>
      <c r="S40" s="83"/>
      <c r="T40" s="304" t="s">
        <v>36</v>
      </c>
      <c r="U40" s="304"/>
      <c r="V40" s="304"/>
      <c r="W40" s="304" t="s">
        <v>36</v>
      </c>
      <c r="X40" s="304"/>
      <c r="Y40" s="304"/>
      <c r="Z40" s="83"/>
      <c r="AA40" s="304" t="s">
        <v>36</v>
      </c>
      <c r="AB40" s="304"/>
      <c r="AC40" s="304"/>
      <c r="AD40" s="304"/>
      <c r="AE40" s="304"/>
      <c r="AF40" s="311"/>
    </row>
    <row r="41" spans="8:43" ht="14.1" customHeight="1" x14ac:dyDescent="0.2">
      <c r="H41" s="311"/>
      <c r="I41" s="49"/>
      <c r="J41" s="33"/>
      <c r="K41" s="33"/>
      <c r="L41" s="107" t="s">
        <v>397</v>
      </c>
      <c r="M41" s="83"/>
      <c r="N41" s="310" t="s">
        <v>459</v>
      </c>
      <c r="O41" s="331" t="s">
        <v>399</v>
      </c>
      <c r="P41" s="335" t="s">
        <v>238</v>
      </c>
      <c r="Q41" s="331" t="s">
        <v>400</v>
      </c>
      <c r="R41" s="331" t="s">
        <v>401</v>
      </c>
      <c r="S41" s="65"/>
      <c r="T41" s="343" t="s">
        <v>154</v>
      </c>
      <c r="U41" s="109"/>
      <c r="V41" s="72" t="s">
        <v>155</v>
      </c>
      <c r="W41" s="110"/>
      <c r="X41" s="110" t="s">
        <v>460</v>
      </c>
      <c r="Y41" s="110"/>
      <c r="Z41" s="83"/>
      <c r="AA41" s="110"/>
      <c r="AB41" s="110"/>
      <c r="AC41" s="110" t="s">
        <v>461</v>
      </c>
      <c r="AD41" s="110"/>
      <c r="AE41" s="110" t="s">
        <v>462</v>
      </c>
      <c r="AF41" s="311"/>
    </row>
    <row r="42" spans="8:43" ht="15" x14ac:dyDescent="0.25">
      <c r="H42" s="311"/>
      <c r="I42" s="94"/>
      <c r="J42" s="61"/>
      <c r="K42" s="61"/>
      <c r="L42" s="95" t="s">
        <v>157</v>
      </c>
      <c r="M42" s="83"/>
      <c r="N42" s="310"/>
      <c r="O42" s="331"/>
      <c r="P42" s="335"/>
      <c r="Q42" s="331"/>
      <c r="R42" s="331"/>
      <c r="S42" s="65"/>
      <c r="T42" s="343"/>
      <c r="U42" s="109"/>
      <c r="V42" s="110"/>
      <c r="W42" s="110"/>
      <c r="X42" s="110" t="s">
        <v>403</v>
      </c>
      <c r="Y42" s="110"/>
      <c r="Z42" s="83"/>
      <c r="AA42" s="266" t="s">
        <v>37</v>
      </c>
      <c r="AB42" s="110"/>
      <c r="AC42" s="110"/>
      <c r="AD42" s="110"/>
      <c r="AE42" s="112" t="s">
        <v>239</v>
      </c>
      <c r="AF42" s="311"/>
    </row>
    <row r="43" spans="8:43" x14ac:dyDescent="0.2">
      <c r="H43" s="311"/>
      <c r="I43" s="322" t="s">
        <v>38</v>
      </c>
      <c r="J43" s="322"/>
      <c r="K43" s="322"/>
      <c r="L43" s="322"/>
      <c r="M43" s="83"/>
      <c r="N43" s="322" t="s">
        <v>38</v>
      </c>
      <c r="O43" s="322"/>
      <c r="P43" s="322"/>
      <c r="Q43" s="322"/>
      <c r="R43" s="322"/>
      <c r="S43" s="83"/>
      <c r="T43" s="304" t="s">
        <v>38</v>
      </c>
      <c r="U43" s="304"/>
      <c r="V43" s="304"/>
      <c r="W43" s="304" t="s">
        <v>38</v>
      </c>
      <c r="X43" s="304"/>
      <c r="Y43" s="304"/>
      <c r="Z43" s="83"/>
      <c r="AA43" s="304" t="s">
        <v>38</v>
      </c>
      <c r="AB43" s="304"/>
      <c r="AC43" s="304"/>
      <c r="AD43" s="304"/>
      <c r="AE43" s="304"/>
      <c r="AF43" s="311"/>
    </row>
    <row r="44" spans="8:43" x14ac:dyDescent="0.2">
      <c r="I44" s="113"/>
      <c r="J44" s="113" t="s">
        <v>39</v>
      </c>
      <c r="K44" s="113"/>
      <c r="L44" s="113"/>
      <c r="N44" s="51"/>
      <c r="O44" s="51" t="s">
        <v>40</v>
      </c>
      <c r="P44" s="51"/>
      <c r="Q44" s="51"/>
      <c r="R44" s="51"/>
      <c r="V44" s="1" t="s">
        <v>463</v>
      </c>
      <c r="AC44" s="1" t="s">
        <v>240</v>
      </c>
    </row>
    <row r="45" spans="8:43" x14ac:dyDescent="0.2">
      <c r="I45" s="1" t="s">
        <v>159</v>
      </c>
    </row>
    <row r="46" spans="8:43" x14ac:dyDescent="0.2">
      <c r="I46" s="1" t="s">
        <v>160</v>
      </c>
    </row>
    <row r="47" spans="8:43" x14ac:dyDescent="0.2">
      <c r="I47" s="1" t="s">
        <v>161</v>
      </c>
    </row>
    <row r="48" spans="8:43" x14ac:dyDescent="0.2">
      <c r="I48" s="1" t="s">
        <v>162</v>
      </c>
    </row>
    <row r="50" spans="9:9" x14ac:dyDescent="0.2">
      <c r="I50" s="1" t="s">
        <v>163</v>
      </c>
    </row>
    <row r="53" spans="9:9" x14ac:dyDescent="0.2">
      <c r="I53" s="1" t="s">
        <v>164</v>
      </c>
    </row>
    <row r="54" spans="9:9" x14ac:dyDescent="0.2">
      <c r="I54" s="1" t="s">
        <v>165</v>
      </c>
    </row>
    <row r="55" spans="9:9" x14ac:dyDescent="0.2">
      <c r="I55" s="1" t="s">
        <v>166</v>
      </c>
    </row>
    <row r="56" spans="9:9" x14ac:dyDescent="0.2">
      <c r="I56" s="1" t="s">
        <v>167</v>
      </c>
    </row>
  </sheetData>
  <sheetProtection selectLockedCells="1" selectUnlockedCells="1"/>
  <mergeCells count="132">
    <mergeCell ref="I43:L43"/>
    <mergeCell ref="N43:R43"/>
    <mergeCell ref="T43:V43"/>
    <mergeCell ref="W43:Y43"/>
    <mergeCell ref="AA43:AE43"/>
    <mergeCell ref="N41:N42"/>
    <mergeCell ref="O41:O42"/>
    <mergeCell ref="P41:P42"/>
    <mergeCell ref="Q41:Q42"/>
    <mergeCell ref="R41:R42"/>
    <mergeCell ref="T41:T42"/>
    <mergeCell ref="O38:O39"/>
    <mergeCell ref="R38:R39"/>
    <mergeCell ref="Y38:Y39"/>
    <mergeCell ref="AA38:AA39"/>
    <mergeCell ref="AE38:AE39"/>
    <mergeCell ref="N40:R40"/>
    <mergeCell ref="T40:V40"/>
    <mergeCell ref="W40:Y40"/>
    <mergeCell ref="AA40:AE40"/>
    <mergeCell ref="AD35:AD36"/>
    <mergeCell ref="AE35:AE36"/>
    <mergeCell ref="I37:L37"/>
    <mergeCell ref="N37:R37"/>
    <mergeCell ref="T37:U37"/>
    <mergeCell ref="AA37:AE37"/>
    <mergeCell ref="I32:I33"/>
    <mergeCell ref="L32:L35"/>
    <mergeCell ref="N32:O35"/>
    <mergeCell ref="AC32:AC33"/>
    <mergeCell ref="AD32:AD33"/>
    <mergeCell ref="AE32:AE33"/>
    <mergeCell ref="T34:Y34"/>
    <mergeCell ref="AA34:AE34"/>
    <mergeCell ref="I35:I36"/>
    <mergeCell ref="Y35:Y37"/>
    <mergeCell ref="AD29:AD30"/>
    <mergeCell ref="AE29:AE30"/>
    <mergeCell ref="I31:L31"/>
    <mergeCell ref="T31:V31"/>
    <mergeCell ref="W31:Y31"/>
    <mergeCell ref="AA31:AE31"/>
    <mergeCell ref="I28:L28"/>
    <mergeCell ref="N28:R28"/>
    <mergeCell ref="T28:V28"/>
    <mergeCell ref="W28:Y28"/>
    <mergeCell ref="AA28:AE28"/>
    <mergeCell ref="I29:I30"/>
    <mergeCell ref="L29:L30"/>
    <mergeCell ref="N29:N30"/>
    <mergeCell ref="AA29:AA30"/>
    <mergeCell ref="AB29:AC29"/>
    <mergeCell ref="AA25:AE25"/>
    <mergeCell ref="I26:I27"/>
    <mergeCell ref="L26:L27"/>
    <mergeCell ref="N26:N27"/>
    <mergeCell ref="O26:O27"/>
    <mergeCell ref="P26:R27"/>
    <mergeCell ref="AA26:AA27"/>
    <mergeCell ref="AC26:AD26"/>
    <mergeCell ref="T27:V27"/>
    <mergeCell ref="W27:Y27"/>
    <mergeCell ref="G23:G26"/>
    <mergeCell ref="I23:I24"/>
    <mergeCell ref="L23:L24"/>
    <mergeCell ref="N23:N24"/>
    <mergeCell ref="P23:R24"/>
    <mergeCell ref="AD23:AD24"/>
    <mergeCell ref="I25:L25"/>
    <mergeCell ref="N25:R25"/>
    <mergeCell ref="T25:V25"/>
    <mergeCell ref="W25:Y25"/>
    <mergeCell ref="AA20:AA21"/>
    <mergeCell ref="X21:Y21"/>
    <mergeCell ref="I22:L22"/>
    <mergeCell ref="N22:R22"/>
    <mergeCell ref="T22:V22"/>
    <mergeCell ref="W22:Y22"/>
    <mergeCell ref="AA22:AE22"/>
    <mergeCell ref="H19:H43"/>
    <mergeCell ref="T19:V19"/>
    <mergeCell ref="W19:Y19"/>
    <mergeCell ref="AA19:AE19"/>
    <mergeCell ref="AF19:AF43"/>
    <mergeCell ref="I20:I21"/>
    <mergeCell ref="R20:R21"/>
    <mergeCell ref="V20:V21"/>
    <mergeCell ref="W20:W21"/>
    <mergeCell ref="X20:Y20"/>
    <mergeCell ref="N16:O16"/>
    <mergeCell ref="T16:V16"/>
    <mergeCell ref="W16:Y16"/>
    <mergeCell ref="AA16:AE16"/>
    <mergeCell ref="I17:I18"/>
    <mergeCell ref="O17:O19"/>
    <mergeCell ref="R17:R18"/>
    <mergeCell ref="T17:T18"/>
    <mergeCell ref="W17:W18"/>
    <mergeCell ref="Y17:Y18"/>
    <mergeCell ref="T13:V13"/>
    <mergeCell ref="W13:Y13"/>
    <mergeCell ref="AA13:AE13"/>
    <mergeCell ref="I14:I15"/>
    <mergeCell ref="R14:R15"/>
    <mergeCell ref="T14:T15"/>
    <mergeCell ref="AC15:AD15"/>
    <mergeCell ref="T10:V10"/>
    <mergeCell ref="W10:Y10"/>
    <mergeCell ref="AA10:AE10"/>
    <mergeCell ref="I11:I12"/>
    <mergeCell ref="N11:N12"/>
    <mergeCell ref="T11:T12"/>
    <mergeCell ref="AA4:AE4"/>
    <mergeCell ref="J5:J6"/>
    <mergeCell ref="AE5:AE6"/>
    <mergeCell ref="I7:L7"/>
    <mergeCell ref="M7:M21"/>
    <mergeCell ref="N7:R7"/>
    <mergeCell ref="T7:V7"/>
    <mergeCell ref="W7:Y7"/>
    <mergeCell ref="AA7:AE7"/>
    <mergeCell ref="R8:R9"/>
    <mergeCell ref="G4:G6"/>
    <mergeCell ref="I4:L4"/>
    <mergeCell ref="N4:R4"/>
    <mergeCell ref="T4:V4"/>
    <mergeCell ref="W4:Y4"/>
    <mergeCell ref="Z4:Z24"/>
    <mergeCell ref="G8:G11"/>
    <mergeCell ref="I10:L10"/>
    <mergeCell ref="N10:R10"/>
    <mergeCell ref="S10:S27"/>
  </mergeCells>
  <pageMargins left="0.7" right="0.7" top="0.75" bottom="0.75" header="0.51180555555555551" footer="0.51180555555555551"/>
  <pageSetup firstPageNumber="0" orientation="portrait" horizontalDpi="300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L3:P26"/>
  <sheetViews>
    <sheetView zoomScale="130" zoomScaleNormal="130" workbookViewId="0">
      <selection activeCell="P26" sqref="P26"/>
    </sheetView>
  </sheetViews>
  <sheetFormatPr defaultColWidth="9.42578125" defaultRowHeight="14.25" x14ac:dyDescent="0.2"/>
  <cols>
    <col min="1" max="16384" width="9.42578125" style="1"/>
  </cols>
  <sheetData>
    <row r="3" spans="12:16" x14ac:dyDescent="0.2">
      <c r="M3" s="1" t="s">
        <v>464</v>
      </c>
    </row>
    <row r="5" spans="12:16" ht="128.25" x14ac:dyDescent="0.2">
      <c r="L5" s="275" t="s">
        <v>285</v>
      </c>
      <c r="M5" s="4" t="s">
        <v>286</v>
      </c>
      <c r="N5" s="4" t="s">
        <v>287</v>
      </c>
      <c r="O5" s="4" t="s">
        <v>288</v>
      </c>
      <c r="P5" s="274" t="s">
        <v>289</v>
      </c>
    </row>
    <row r="7" spans="12:16" x14ac:dyDescent="0.2">
      <c r="L7" s="1">
        <v>65</v>
      </c>
      <c r="M7" s="1">
        <v>20</v>
      </c>
      <c r="N7" s="1">
        <v>10</v>
      </c>
      <c r="O7" s="1">
        <v>7</v>
      </c>
      <c r="P7" s="1">
        <v>39</v>
      </c>
    </row>
    <row r="8" spans="12:16" x14ac:dyDescent="0.2">
      <c r="L8" s="1">
        <v>10</v>
      </c>
      <c r="M8" s="1">
        <v>10</v>
      </c>
      <c r="N8" s="1">
        <v>6</v>
      </c>
      <c r="O8" s="1">
        <v>7</v>
      </c>
      <c r="P8" s="1">
        <v>12</v>
      </c>
    </row>
    <row r="9" spans="12:16" x14ac:dyDescent="0.2">
      <c r="L9" s="1">
        <v>9</v>
      </c>
      <c r="M9" s="1">
        <v>10</v>
      </c>
      <c r="N9" s="1">
        <v>3</v>
      </c>
      <c r="O9" s="1">
        <v>1</v>
      </c>
      <c r="P9" s="1">
        <v>92</v>
      </c>
    </row>
    <row r="10" spans="12:16" x14ac:dyDescent="0.2">
      <c r="L10" s="1">
        <v>6</v>
      </c>
      <c r="M10" s="1">
        <v>10</v>
      </c>
      <c r="N10" s="1">
        <v>10</v>
      </c>
      <c r="O10" s="1">
        <v>5</v>
      </c>
    </row>
    <row r="11" spans="12:16" x14ac:dyDescent="0.2">
      <c r="L11" s="1">
        <v>10</v>
      </c>
      <c r="M11" s="1">
        <v>11</v>
      </c>
      <c r="N11" s="1">
        <v>10</v>
      </c>
      <c r="O11" s="1">
        <v>83</v>
      </c>
    </row>
    <row r="12" spans="12:16" x14ac:dyDescent="0.2">
      <c r="L12" s="1">
        <v>1</v>
      </c>
      <c r="N12" s="1">
        <v>10</v>
      </c>
    </row>
    <row r="13" spans="12:16" x14ac:dyDescent="0.2">
      <c r="L13" s="1">
        <v>10</v>
      </c>
    </row>
    <row r="14" spans="12:16" x14ac:dyDescent="0.2">
      <c r="P14" s="1">
        <f>SUM(L7:P13)</f>
        <v>467</v>
      </c>
    </row>
    <row r="16" spans="12:16" x14ac:dyDescent="0.2">
      <c r="L16" s="1" t="s">
        <v>465</v>
      </c>
    </row>
    <row r="17" spans="12:16" ht="99.75" x14ac:dyDescent="0.2">
      <c r="L17" s="275" t="s">
        <v>306</v>
      </c>
      <c r="M17" s="275" t="s">
        <v>307</v>
      </c>
      <c r="N17" s="275" t="s">
        <v>308</v>
      </c>
      <c r="O17" s="278" t="s">
        <v>309</v>
      </c>
      <c r="P17" s="274" t="s">
        <v>310</v>
      </c>
    </row>
    <row r="19" spans="12:16" x14ac:dyDescent="0.2">
      <c r="L19" s="1">
        <v>16</v>
      </c>
      <c r="M19" s="1">
        <v>10</v>
      </c>
      <c r="N19" s="1">
        <v>10</v>
      </c>
      <c r="O19" s="1">
        <v>75</v>
      </c>
      <c r="P19" s="1">
        <v>12</v>
      </c>
    </row>
    <row r="20" spans="12:16" x14ac:dyDescent="0.2">
      <c r="L20" s="1">
        <v>11</v>
      </c>
      <c r="M20" s="1">
        <v>14</v>
      </c>
      <c r="N20" s="1">
        <v>10</v>
      </c>
      <c r="O20" s="1">
        <v>10</v>
      </c>
      <c r="P20" s="1">
        <v>172</v>
      </c>
    </row>
    <row r="21" spans="12:16" x14ac:dyDescent="0.2">
      <c r="L21" s="1">
        <v>9</v>
      </c>
      <c r="M21" s="1">
        <v>16</v>
      </c>
      <c r="N21" s="1">
        <v>9</v>
      </c>
      <c r="O21" s="1">
        <v>10</v>
      </c>
    </row>
    <row r="22" spans="12:16" x14ac:dyDescent="0.2">
      <c r="L22" s="1">
        <v>10</v>
      </c>
      <c r="M22" s="1">
        <v>11</v>
      </c>
      <c r="N22" s="1">
        <v>10</v>
      </c>
      <c r="O22" s="1">
        <v>10</v>
      </c>
    </row>
    <row r="23" spans="12:16" x14ac:dyDescent="0.2">
      <c r="L23" s="1">
        <v>10</v>
      </c>
      <c r="M23" s="1">
        <v>10</v>
      </c>
      <c r="N23" s="1">
        <v>9</v>
      </c>
      <c r="O23" s="1">
        <v>4</v>
      </c>
    </row>
    <row r="24" spans="12:16" x14ac:dyDescent="0.2">
      <c r="L24" s="1">
        <v>11</v>
      </c>
      <c r="M24" s="1">
        <v>1</v>
      </c>
      <c r="N24" s="1">
        <v>8</v>
      </c>
    </row>
    <row r="25" spans="12:16" x14ac:dyDescent="0.2">
      <c r="M25" s="1">
        <v>10</v>
      </c>
    </row>
    <row r="26" spans="12:16" x14ac:dyDescent="0.2">
      <c r="P26" s="1">
        <f>SUM(L19:P25)</f>
        <v>488</v>
      </c>
    </row>
  </sheetData>
  <sheetProtection selectLockedCells="1" selectUnlockedCells="1"/>
  <pageMargins left="0.7" right="0.7" top="0.75" bottom="0.75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8</vt:i4>
      </vt:variant>
    </vt:vector>
  </HeadingPairs>
  <TitlesOfParts>
    <vt:vector size="16" baseType="lpstr">
      <vt:lpstr>Just totals (2)</vt:lpstr>
      <vt:lpstr>Sheet8</vt:lpstr>
      <vt:lpstr>Just totals use for PRINTING</vt:lpstr>
      <vt:lpstr>no addresses sums</vt:lpstr>
      <vt:lpstr>PRINT THIS</vt:lpstr>
      <vt:lpstr>orig</vt:lpstr>
      <vt:lpstr>backup</vt:lpstr>
      <vt:lpstr>some checks</vt:lpstr>
      <vt:lpstr>_xlnm.Print_Area_1</vt:lpstr>
      <vt:lpstr>_xlnm.Print_Area_2</vt:lpstr>
      <vt:lpstr>_xlnm.Print_Area_4</vt:lpstr>
      <vt:lpstr>_xlnm.Print_Area_5</vt:lpstr>
      <vt:lpstr>'Just totals (2)'!Print_Area</vt:lpstr>
      <vt:lpstr>'Just totals use for PRINTING'!Print_Area</vt:lpstr>
      <vt:lpstr>orig!Print_Area</vt:lpstr>
      <vt:lpstr>'PRINT THIS'!Print_Area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CEC3</dc:creator>
  <cp:lastModifiedBy>CEC3</cp:lastModifiedBy>
  <dcterms:created xsi:type="dcterms:W3CDTF">2016-07-07T19:56:10Z</dcterms:created>
  <dcterms:modified xsi:type="dcterms:W3CDTF">2016-07-07T19:57:30Z</dcterms:modified>
</cp:coreProperties>
</file>